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90" yWindow="285" windowWidth="19230" windowHeight="4095" activeTab="2"/>
  </bookViews>
  <sheets>
    <sheet name="报价索引" sheetId="14" r:id="rId1"/>
    <sheet name="注册用户报价 " sheetId="2" r:id="rId2"/>
    <sheet name="并发报价 " sheetId="1" r:id="rId3"/>
    <sheet name="银行接口报价" sheetId="11" r:id="rId4"/>
    <sheet name="NCV6移动应用运营服务报价" sheetId="13" r:id="rId5"/>
    <sheet name="天创征腾影像管理系统" sheetId="7" r:id="rId6"/>
    <sheet name="简历解析并发报价" sheetId="9" r:id="rId7"/>
    <sheet name="简历解析注册用户报价 " sheetId="8" r:id="rId8"/>
    <sheet name="产品支持服务" sheetId="35" r:id="rId9"/>
    <sheet name="系统运维服务" sheetId="36" r:id="rId10"/>
    <sheet name=" 实施报价" sheetId="29" r:id="rId11"/>
    <sheet name="客开报价" sheetId="30" r:id="rId12"/>
    <sheet name="oracle报价" sheetId="34" r:id="rId13"/>
  </sheets>
  <definedNames>
    <definedName name="_xlnm._FilterDatabase" localSheetId="2" hidden="1">'并发报价 '!$A$2:$N$190</definedName>
    <definedName name="_xlnm._FilterDatabase" localSheetId="1" hidden="1">'注册用户报价 '!$A$3:$K$202</definedName>
  </definedNames>
  <calcPr calcId="144525"/>
</workbook>
</file>

<file path=xl/calcChain.xml><?xml version="1.0" encoding="utf-8"?>
<calcChain xmlns="http://schemas.openxmlformats.org/spreadsheetml/2006/main">
  <c r="I121" i="36" l="1"/>
  <c r="I120" i="36"/>
  <c r="I119" i="36"/>
  <c r="I118" i="36"/>
  <c r="I117" i="36"/>
  <c r="I116" i="36"/>
  <c r="I115" i="36"/>
  <c r="I114" i="36"/>
  <c r="I113" i="36"/>
  <c r="I112" i="36"/>
  <c r="I111" i="36"/>
  <c r="I110" i="36"/>
  <c r="I109" i="36"/>
  <c r="I108" i="36"/>
  <c r="I107" i="36"/>
  <c r="I106" i="36"/>
  <c r="I105" i="36"/>
  <c r="I104" i="36"/>
  <c r="I103" i="36"/>
  <c r="I102" i="36"/>
  <c r="I101" i="36"/>
  <c r="I100" i="36"/>
  <c r="I99" i="36"/>
  <c r="I98" i="36"/>
  <c r="I97" i="36"/>
  <c r="I96" i="36"/>
  <c r="I95" i="36"/>
  <c r="I94" i="36"/>
  <c r="I93" i="36"/>
  <c r="I92" i="36"/>
  <c r="I91" i="36"/>
  <c r="I90" i="36"/>
  <c r="I89" i="36"/>
  <c r="I88" i="36"/>
  <c r="I87" i="36"/>
  <c r="I86" i="36"/>
  <c r="I85" i="36"/>
  <c r="I84" i="36"/>
  <c r="I83" i="36"/>
  <c r="I82" i="36"/>
  <c r="I81" i="36"/>
  <c r="I80" i="36"/>
  <c r="I79" i="36"/>
  <c r="I78" i="36"/>
  <c r="I77" i="36"/>
  <c r="I76" i="36"/>
  <c r="I75" i="36"/>
  <c r="I74" i="36"/>
  <c r="I73" i="36"/>
  <c r="I72" i="36"/>
  <c r="I71" i="36"/>
  <c r="I70" i="36"/>
  <c r="I69" i="36"/>
  <c r="I68" i="36"/>
  <c r="I67" i="36"/>
  <c r="I66" i="36"/>
  <c r="I65" i="36"/>
  <c r="I64" i="36"/>
  <c r="I63" i="36"/>
  <c r="I62" i="36"/>
  <c r="I61" i="36"/>
  <c r="I60" i="36"/>
  <c r="I59" i="36"/>
  <c r="I58" i="36"/>
  <c r="I57" i="36"/>
  <c r="I56" i="36"/>
  <c r="I55" i="36"/>
  <c r="I54" i="36"/>
  <c r="I53" i="36"/>
  <c r="I52" i="36"/>
  <c r="I51" i="36"/>
  <c r="I50" i="36"/>
  <c r="I49" i="36"/>
  <c r="I48" i="36"/>
  <c r="I47" i="36"/>
  <c r="I46" i="36"/>
  <c r="I45" i="36"/>
  <c r="I44" i="36"/>
  <c r="I43" i="36"/>
  <c r="I42" i="36"/>
  <c r="I41" i="36"/>
  <c r="I40" i="36"/>
  <c r="I39" i="36"/>
  <c r="I38" i="36"/>
  <c r="I37" i="36"/>
  <c r="I36" i="36"/>
  <c r="I35" i="36"/>
  <c r="I34" i="36"/>
  <c r="I33" i="36"/>
  <c r="I32" i="36"/>
  <c r="I31" i="36"/>
  <c r="I30" i="36"/>
  <c r="I29" i="36"/>
  <c r="I28" i="36"/>
  <c r="I27" i="36"/>
  <c r="I26" i="36"/>
  <c r="I25" i="36"/>
  <c r="I24" i="36"/>
  <c r="I23" i="36"/>
  <c r="I22" i="36"/>
  <c r="I21" i="36"/>
  <c r="I20" i="36"/>
  <c r="I19" i="36"/>
  <c r="I18" i="36"/>
  <c r="E19" i="35"/>
  <c r="E18" i="35"/>
  <c r="E16" i="35"/>
  <c r="E15" i="35"/>
  <c r="E14" i="35"/>
  <c r="E13" i="35"/>
  <c r="E9" i="35"/>
  <c r="E5" i="35"/>
  <c r="E19" i="14"/>
  <c r="E18" i="14"/>
  <c r="E4" i="14"/>
  <c r="E17" i="14"/>
  <c r="E20" i="35"/>
  <c r="E6" i="14"/>
  <c r="E5" i="14"/>
  <c r="C8" i="30"/>
  <c r="D7" i="30"/>
  <c r="D6" i="30"/>
  <c r="D5" i="30"/>
  <c r="D4" i="30"/>
  <c r="D3" i="30"/>
  <c r="D250" i="29"/>
  <c r="D249" i="29"/>
  <c r="D247" i="29"/>
  <c r="D248" i="29"/>
  <c r="D251" i="29"/>
  <c r="D244" i="29"/>
  <c r="H232" i="29"/>
  <c r="H230" i="29"/>
  <c r="H225" i="29"/>
  <c r="H222" i="29"/>
  <c r="H218" i="29"/>
  <c r="H215" i="29"/>
  <c r="H212" i="29"/>
  <c r="H208" i="29"/>
  <c r="H206" i="29"/>
  <c r="H203" i="29"/>
  <c r="H199" i="29"/>
  <c r="H196" i="29"/>
  <c r="H193" i="29"/>
  <c r="H189" i="29"/>
  <c r="H186" i="29"/>
  <c r="H183" i="29"/>
  <c r="H180" i="29"/>
  <c r="H177" i="29"/>
  <c r="H174" i="29"/>
  <c r="H171" i="29"/>
  <c r="H168" i="29"/>
  <c r="H165" i="29"/>
  <c r="H162" i="29"/>
  <c r="H159" i="29"/>
  <c r="H156" i="29"/>
  <c r="H153" i="29"/>
  <c r="L147" i="29"/>
  <c r="K147" i="29"/>
  <c r="H147" i="29"/>
  <c r="G147" i="29"/>
  <c r="F147" i="29"/>
  <c r="E147" i="29"/>
  <c r="D147" i="29"/>
  <c r="J146" i="29"/>
  <c r="I146" i="29"/>
  <c r="J145" i="29"/>
  <c r="I145" i="29"/>
  <c r="J144" i="29"/>
  <c r="I144" i="29"/>
  <c r="J143" i="29"/>
  <c r="I143" i="29"/>
  <c r="J142" i="29"/>
  <c r="I142" i="29"/>
  <c r="J141" i="29"/>
  <c r="I141" i="29"/>
  <c r="J140" i="29"/>
  <c r="I140" i="29"/>
  <c r="L139" i="29"/>
  <c r="K139" i="29"/>
  <c r="J139" i="29"/>
  <c r="H139" i="29"/>
  <c r="G139" i="29"/>
  <c r="F139" i="29"/>
  <c r="E139" i="29"/>
  <c r="D139" i="29"/>
  <c r="J138" i="29"/>
  <c r="I138" i="29"/>
  <c r="J137" i="29"/>
  <c r="I137" i="29"/>
  <c r="L136" i="29"/>
  <c r="K136" i="29"/>
  <c r="J136" i="29"/>
  <c r="H136" i="29"/>
  <c r="G136" i="29"/>
  <c r="F136" i="29"/>
  <c r="E136" i="29"/>
  <c r="D136" i="29"/>
  <c r="J135" i="29"/>
  <c r="I135" i="29"/>
  <c r="L134" i="29"/>
  <c r="K134" i="29"/>
  <c r="H134" i="29"/>
  <c r="G134" i="29"/>
  <c r="F134" i="29"/>
  <c r="E134" i="29"/>
  <c r="D134" i="29"/>
  <c r="J133" i="29"/>
  <c r="I133" i="29"/>
  <c r="J132" i="29"/>
  <c r="I132" i="29"/>
  <c r="J131" i="29"/>
  <c r="I131" i="29"/>
  <c r="J130" i="29"/>
  <c r="I130" i="29"/>
  <c r="J129" i="29"/>
  <c r="I129" i="29"/>
  <c r="J128" i="29"/>
  <c r="I128" i="29"/>
  <c r="J127" i="29"/>
  <c r="I127" i="29"/>
  <c r="J126" i="29"/>
  <c r="I126" i="29"/>
  <c r="J125" i="29"/>
  <c r="I125" i="29"/>
  <c r="J124" i="29"/>
  <c r="I124" i="29"/>
  <c r="J123" i="29"/>
  <c r="I123" i="29"/>
  <c r="J122" i="29"/>
  <c r="J134" i="29"/>
  <c r="I122" i="29"/>
  <c r="L121" i="29"/>
  <c r="K121" i="29"/>
  <c r="H121" i="29"/>
  <c r="G121" i="29"/>
  <c r="F121" i="29"/>
  <c r="E121" i="29"/>
  <c r="D121" i="29"/>
  <c r="J120" i="29"/>
  <c r="I120" i="29"/>
  <c r="J119" i="29"/>
  <c r="I119" i="29"/>
  <c r="J118" i="29"/>
  <c r="I118" i="29"/>
  <c r="J117" i="29"/>
  <c r="I117" i="29"/>
  <c r="L116" i="29"/>
  <c r="K116" i="29"/>
  <c r="H116" i="29"/>
  <c r="G116" i="29"/>
  <c r="F116" i="29"/>
  <c r="E116" i="29"/>
  <c r="D116" i="29"/>
  <c r="J115" i="29"/>
  <c r="I115" i="29"/>
  <c r="J114" i="29"/>
  <c r="J116" i="29"/>
  <c r="I114" i="29"/>
  <c r="L113" i="29"/>
  <c r="K113" i="29"/>
  <c r="H113" i="29"/>
  <c r="G113" i="29"/>
  <c r="F113" i="29"/>
  <c r="E113" i="29"/>
  <c r="D113" i="29"/>
  <c r="J112" i="29"/>
  <c r="I112" i="29"/>
  <c r="J111" i="29"/>
  <c r="I111" i="29"/>
  <c r="J110" i="29"/>
  <c r="I110" i="29"/>
  <c r="J109" i="29"/>
  <c r="I109" i="29"/>
  <c r="J108" i="29"/>
  <c r="I108" i="29"/>
  <c r="J107" i="29"/>
  <c r="I107" i="29"/>
  <c r="J106" i="29"/>
  <c r="I106" i="29"/>
  <c r="J105" i="29"/>
  <c r="I105" i="29"/>
  <c r="J104" i="29"/>
  <c r="J113" i="29"/>
  <c r="I104" i="29"/>
  <c r="L103" i="29"/>
  <c r="K103" i="29"/>
  <c r="J103" i="29"/>
  <c r="H103" i="29"/>
  <c r="G103" i="29"/>
  <c r="F103" i="29"/>
  <c r="E103" i="29"/>
  <c r="D103" i="29"/>
  <c r="J102" i="29"/>
  <c r="I102" i="29"/>
  <c r="J101" i="29"/>
  <c r="I101" i="29"/>
  <c r="J100" i="29"/>
  <c r="I100" i="29"/>
  <c r="J99" i="29"/>
  <c r="I99" i="29"/>
  <c r="J98" i="29"/>
  <c r="I98" i="29"/>
  <c r="J97" i="29"/>
  <c r="I97" i="29"/>
  <c r="J96" i="29"/>
  <c r="I96" i="29"/>
  <c r="L95" i="29"/>
  <c r="K95" i="29"/>
  <c r="J95" i="29"/>
  <c r="H95" i="29"/>
  <c r="G95" i="29"/>
  <c r="F95" i="29"/>
  <c r="E95" i="29"/>
  <c r="D95" i="29"/>
  <c r="J94" i="29"/>
  <c r="I94" i="29"/>
  <c r="J93" i="29"/>
  <c r="I93" i="29"/>
  <c r="J92" i="29"/>
  <c r="I92" i="29"/>
  <c r="J91" i="29"/>
  <c r="I91" i="29"/>
  <c r="J90" i="29"/>
  <c r="I90" i="29"/>
  <c r="L89" i="29"/>
  <c r="K89" i="29"/>
  <c r="J89" i="29"/>
  <c r="H89" i="29"/>
  <c r="G89" i="29"/>
  <c r="F89" i="29"/>
  <c r="E89" i="29"/>
  <c r="D89" i="29"/>
  <c r="J88" i="29"/>
  <c r="I88" i="29"/>
  <c r="L87" i="29"/>
  <c r="K87" i="29"/>
  <c r="H87" i="29"/>
  <c r="G87" i="29"/>
  <c r="F87" i="29"/>
  <c r="E87" i="29"/>
  <c r="I87" i="29"/>
  <c r="D87" i="29"/>
  <c r="J86" i="29"/>
  <c r="I86" i="29"/>
  <c r="J85" i="29"/>
  <c r="I85" i="29"/>
  <c r="J84" i="29"/>
  <c r="I84" i="29"/>
  <c r="J83" i="29"/>
  <c r="I83" i="29"/>
  <c r="J82" i="29"/>
  <c r="I82" i="29"/>
  <c r="J81" i="29"/>
  <c r="I81" i="29"/>
  <c r="J80" i="29"/>
  <c r="I80" i="29"/>
  <c r="J79" i="29"/>
  <c r="I79" i="29"/>
  <c r="J78" i="29"/>
  <c r="I78" i="29"/>
  <c r="J77" i="29"/>
  <c r="I77" i="29"/>
  <c r="J76" i="29"/>
  <c r="I76" i="29"/>
  <c r="J75" i="29"/>
  <c r="J87" i="29"/>
  <c r="I75" i="29"/>
  <c r="H74" i="29"/>
  <c r="G74" i="29"/>
  <c r="F74" i="29"/>
  <c r="E74" i="29"/>
  <c r="D74" i="29"/>
  <c r="J73" i="29"/>
  <c r="I73" i="29"/>
  <c r="J72" i="29"/>
  <c r="I72" i="29"/>
  <c r="J71" i="29"/>
  <c r="I71" i="29"/>
  <c r="J70" i="29"/>
  <c r="I70" i="29"/>
  <c r="J69" i="29"/>
  <c r="I69" i="29"/>
  <c r="J68" i="29"/>
  <c r="I68" i="29"/>
  <c r="J67" i="29"/>
  <c r="I67" i="29"/>
  <c r="J66" i="29"/>
  <c r="I66" i="29"/>
  <c r="J65" i="29"/>
  <c r="I65" i="29"/>
  <c r="J64" i="29"/>
  <c r="I64" i="29"/>
  <c r="J63" i="29"/>
  <c r="I63" i="29"/>
  <c r="J62" i="29"/>
  <c r="I62" i="29"/>
  <c r="J61" i="29"/>
  <c r="I61" i="29"/>
  <c r="J60" i="29"/>
  <c r="I60" i="29"/>
  <c r="J59" i="29"/>
  <c r="I59" i="29"/>
  <c r="G59" i="29"/>
  <c r="J58" i="29"/>
  <c r="I58" i="29"/>
  <c r="J57" i="29"/>
  <c r="J74" i="29"/>
  <c r="I57" i="29"/>
  <c r="H56" i="29"/>
  <c r="G56" i="29"/>
  <c r="F56" i="29"/>
  <c r="E56" i="29"/>
  <c r="D56" i="29"/>
  <c r="J55" i="29"/>
  <c r="I55" i="29"/>
  <c r="J54" i="29"/>
  <c r="J56" i="29"/>
  <c r="I54" i="29"/>
  <c r="H53" i="29"/>
  <c r="G53" i="29"/>
  <c r="F53" i="29"/>
  <c r="E53" i="29"/>
  <c r="D53" i="29"/>
  <c r="J52" i="29"/>
  <c r="I52" i="29"/>
  <c r="J51" i="29"/>
  <c r="I51" i="29"/>
  <c r="J50" i="29"/>
  <c r="I50" i="29"/>
  <c r="J49" i="29"/>
  <c r="I49" i="29"/>
  <c r="J48" i="29"/>
  <c r="I48" i="29"/>
  <c r="J47" i="29"/>
  <c r="I47" i="29"/>
  <c r="J46" i="29"/>
  <c r="I46" i="29"/>
  <c r="J45" i="29"/>
  <c r="I45" i="29"/>
  <c r="J44" i="29"/>
  <c r="I44" i="29"/>
  <c r="J43" i="29"/>
  <c r="I43" i="29"/>
  <c r="J42" i="29"/>
  <c r="I42" i="29"/>
  <c r="J41" i="29"/>
  <c r="J53" i="29"/>
  <c r="I41" i="29"/>
  <c r="L40" i="29"/>
  <c r="K40" i="29"/>
  <c r="J40" i="29"/>
  <c r="H40" i="29"/>
  <c r="G40" i="29"/>
  <c r="F40" i="29"/>
  <c r="E40" i="29"/>
  <c r="D40" i="29"/>
  <c r="J39" i="29"/>
  <c r="I39" i="29"/>
  <c r="J38" i="29"/>
  <c r="I38" i="29"/>
  <c r="J37" i="29"/>
  <c r="I37" i="29"/>
  <c r="J36" i="29"/>
  <c r="I36" i="29"/>
  <c r="H35" i="29"/>
  <c r="G35" i="29"/>
  <c r="F35" i="29"/>
  <c r="E35" i="29"/>
  <c r="E148" i="29"/>
  <c r="D35" i="29"/>
  <c r="J34" i="29"/>
  <c r="I34" i="29"/>
  <c r="J33" i="29"/>
  <c r="I33" i="29"/>
  <c r="J32" i="29"/>
  <c r="I32" i="29"/>
  <c r="J31" i="29"/>
  <c r="J35" i="29"/>
  <c r="I31" i="29"/>
  <c r="L29" i="29"/>
  <c r="K29" i="29"/>
  <c r="J29" i="29"/>
  <c r="H29" i="29"/>
  <c r="G29" i="29"/>
  <c r="F29" i="29"/>
  <c r="E29" i="29"/>
  <c r="I29" i="29"/>
  <c r="D29" i="29"/>
  <c r="J28" i="29"/>
  <c r="H28" i="29"/>
  <c r="G28" i="29"/>
  <c r="F28" i="29"/>
  <c r="E28" i="29"/>
  <c r="J27" i="29"/>
  <c r="I27" i="29"/>
  <c r="J26" i="29"/>
  <c r="I26" i="29"/>
  <c r="J25" i="29"/>
  <c r="I25" i="29"/>
  <c r="J24" i="29"/>
  <c r="I24" i="29"/>
  <c r="L23" i="29"/>
  <c r="K23" i="29"/>
  <c r="J23" i="29"/>
  <c r="H23" i="29"/>
  <c r="G23" i="29"/>
  <c r="F23" i="29"/>
  <c r="E23" i="29"/>
  <c r="D23" i="29"/>
  <c r="J22" i="29"/>
  <c r="I22" i="29"/>
  <c r="J21" i="29"/>
  <c r="I21" i="29"/>
  <c r="J20" i="29"/>
  <c r="I20" i="29"/>
  <c r="J19" i="29"/>
  <c r="H19" i="29"/>
  <c r="G19" i="29"/>
  <c r="F19" i="29"/>
  <c r="I19" i="29"/>
  <c r="L18" i="29"/>
  <c r="K18" i="29"/>
  <c r="J18" i="29"/>
  <c r="H18" i="29"/>
  <c r="G18" i="29"/>
  <c r="F18" i="29"/>
  <c r="E18" i="29"/>
  <c r="I18" i="29"/>
  <c r="D18" i="29"/>
  <c r="J17" i="29"/>
  <c r="I17" i="29"/>
  <c r="J16" i="29"/>
  <c r="I16" i="29"/>
  <c r="J15" i="29"/>
  <c r="I15" i="29"/>
  <c r="J14" i="29"/>
  <c r="I14" i="29"/>
  <c r="L13" i="29"/>
  <c r="K13" i="29"/>
  <c r="J13" i="29"/>
  <c r="H13" i="29"/>
  <c r="G13" i="29"/>
  <c r="F13" i="29"/>
  <c r="E13" i="29"/>
  <c r="I13" i="29"/>
  <c r="D13" i="29"/>
  <c r="J12" i="29"/>
  <c r="I12" i="29"/>
  <c r="L11" i="29"/>
  <c r="K11" i="29"/>
  <c r="J11" i="29"/>
  <c r="I11" i="29"/>
  <c r="H11" i="29"/>
  <c r="G11" i="29"/>
  <c r="F11" i="29"/>
  <c r="E11" i="29"/>
  <c r="D11" i="29"/>
  <c r="J10" i="29"/>
  <c r="J30" i="29"/>
  <c r="D30" i="29"/>
  <c r="H30" i="29"/>
  <c r="I23" i="29"/>
  <c r="D148" i="29"/>
  <c r="C236" i="29"/>
  <c r="H148" i="29"/>
  <c r="L148" i="29"/>
  <c r="I74" i="29"/>
  <c r="I95" i="29"/>
  <c r="I113" i="29"/>
  <c r="I136" i="29"/>
  <c r="I139" i="29"/>
  <c r="J147" i="29"/>
  <c r="H233" i="29"/>
  <c r="H149" i="29"/>
  <c r="F30" i="29"/>
  <c r="F148" i="29"/>
  <c r="I148" i="29"/>
  <c r="I40" i="29"/>
  <c r="I53" i="29"/>
  <c r="I89" i="29"/>
  <c r="I103" i="29"/>
  <c r="I134" i="29"/>
  <c r="I147" i="29"/>
  <c r="K30" i="29"/>
  <c r="F149" i="29"/>
  <c r="G30" i="29"/>
  <c r="G149" i="29"/>
  <c r="L30" i="29"/>
  <c r="I28" i="29"/>
  <c r="G148" i="29"/>
  <c r="K148" i="29"/>
  <c r="K149" i="29"/>
  <c r="I56" i="29"/>
  <c r="I116" i="29"/>
  <c r="J121" i="29"/>
  <c r="I121" i="29"/>
  <c r="D8" i="30"/>
  <c r="H236" i="29"/>
  <c r="H237" i="29"/>
  <c r="D236" i="29"/>
  <c r="L149" i="29"/>
  <c r="J148" i="29"/>
  <c r="J149" i="29"/>
  <c r="F236" i="29"/>
  <c r="F237" i="29"/>
  <c r="I35" i="29"/>
  <c r="E30" i="29"/>
  <c r="I30" i="29"/>
  <c r="D149" i="29"/>
  <c r="G237" i="29"/>
  <c r="G236" i="29"/>
  <c r="E149" i="29"/>
  <c r="I149" i="29"/>
  <c r="E236" i="29"/>
  <c r="E237" i="29"/>
  <c r="C237" i="29"/>
  <c r="I237" i="29"/>
  <c r="D253" i="29"/>
  <c r="D240" i="29"/>
  <c r="D241" i="29"/>
  <c r="D254" i="29"/>
  <c r="H42" i="13"/>
  <c r="J42" i="13"/>
  <c r="H54" i="13"/>
  <c r="I50" i="13"/>
  <c r="I42" i="13"/>
  <c r="I46" i="13"/>
  <c r="I41" i="13"/>
  <c r="H41" i="13"/>
  <c r="J41" i="13"/>
  <c r="J54" i="13"/>
  <c r="I54" i="13"/>
  <c r="H50" i="13"/>
  <c r="J50" i="13"/>
  <c r="H46" i="13"/>
  <c r="J46" i="13"/>
  <c r="I38" i="13"/>
  <c r="H38" i="13"/>
  <c r="J38" i="13"/>
  <c r="I37" i="13"/>
  <c r="H37" i="13"/>
  <c r="J37" i="13"/>
  <c r="I36" i="13"/>
  <c r="H36" i="13"/>
  <c r="J36" i="13"/>
  <c r="I35" i="13"/>
  <c r="H35" i="13"/>
  <c r="J35" i="13"/>
  <c r="I34" i="13"/>
  <c r="H34" i="13"/>
  <c r="J34" i="13"/>
  <c r="I33" i="13"/>
  <c r="H33" i="13"/>
  <c r="J33" i="13"/>
  <c r="I32" i="13"/>
  <c r="H32" i="13"/>
  <c r="J32" i="13"/>
  <c r="I31" i="13"/>
  <c r="H31" i="13"/>
  <c r="J31" i="13"/>
  <c r="I30" i="13"/>
  <c r="H30" i="13"/>
  <c r="J30" i="13"/>
  <c r="I29" i="13"/>
  <c r="H29" i="13"/>
  <c r="J29" i="13"/>
  <c r="I28" i="13"/>
  <c r="H28" i="13"/>
  <c r="J28" i="13"/>
  <c r="I27" i="13"/>
  <c r="H27" i="13"/>
  <c r="J27" i="13"/>
  <c r="I26" i="13"/>
  <c r="H26" i="13"/>
  <c r="J26" i="13"/>
  <c r="I25" i="13"/>
  <c r="H25" i="13"/>
  <c r="J25" i="13"/>
  <c r="I24" i="13"/>
  <c r="H24" i="13"/>
  <c r="J24" i="13"/>
  <c r="I21" i="13"/>
  <c r="H21" i="13"/>
  <c r="J21" i="13"/>
  <c r="I18" i="13"/>
  <c r="H18" i="13"/>
  <c r="J18" i="13"/>
  <c r="I15" i="13"/>
  <c r="H15" i="13"/>
  <c r="J15" i="13"/>
  <c r="I14" i="13"/>
  <c r="H14" i="13"/>
  <c r="J14" i="13"/>
  <c r="I13" i="13"/>
  <c r="H13" i="13"/>
  <c r="J13" i="13"/>
  <c r="H7" i="13"/>
  <c r="E7" i="13"/>
  <c r="I6" i="13"/>
  <c r="H6" i="13"/>
  <c r="J6" i="13"/>
  <c r="E6" i="13"/>
  <c r="J5" i="13"/>
  <c r="J55" i="13"/>
  <c r="E7" i="14"/>
  <c r="E22" i="14"/>
  <c r="H55" i="13"/>
  <c r="G132" i="2"/>
  <c r="G121" i="2"/>
  <c r="I123" i="1"/>
  <c r="I112" i="1"/>
  <c r="I113" i="1"/>
  <c r="G202" i="2"/>
  <c r="G199" i="2"/>
  <c r="G200" i="2"/>
  <c r="G201" i="2"/>
  <c r="H5" i="11"/>
  <c r="H6" i="11"/>
  <c r="H7" i="11"/>
  <c r="I124" i="1"/>
  <c r="I35" i="1"/>
  <c r="G38" i="2"/>
  <c r="I79" i="1"/>
  <c r="G78" i="2"/>
  <c r="I93" i="1"/>
  <c r="I105" i="1"/>
  <c r="G84" i="2"/>
  <c r="G114" i="2"/>
  <c r="I176" i="1"/>
  <c r="I177" i="1"/>
  <c r="I175" i="1"/>
  <c r="I134" i="1"/>
  <c r="K147" i="2"/>
  <c r="K152" i="2"/>
  <c r="G147" i="2"/>
  <c r="G152" i="2"/>
  <c r="I33" i="1"/>
  <c r="I34" i="1"/>
  <c r="M33" i="1"/>
  <c r="I23" i="1"/>
  <c r="C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4" i="11"/>
  <c r="H40" i="11"/>
  <c r="I13" i="1"/>
  <c r="I12" i="1"/>
  <c r="I11" i="1"/>
  <c r="G15" i="2"/>
  <c r="G16" i="2"/>
  <c r="G17" i="2"/>
  <c r="I29" i="1"/>
  <c r="G31" i="2"/>
  <c r="H3" i="9"/>
  <c r="H4" i="9"/>
  <c r="K4" i="8"/>
  <c r="G4" i="8"/>
  <c r="G5" i="8"/>
  <c r="I82" i="1"/>
  <c r="I61" i="1"/>
  <c r="M78" i="1"/>
  <c r="G156" i="2"/>
  <c r="G143" i="2"/>
  <c r="I78" i="1"/>
  <c r="M79" i="1"/>
  <c r="G77" i="2"/>
  <c r="G81" i="2"/>
  <c r="K78" i="2"/>
  <c r="K77" i="2"/>
  <c r="I77" i="1"/>
  <c r="M77" i="1"/>
  <c r="I89" i="1"/>
  <c r="M89" i="1"/>
  <c r="I90" i="1"/>
  <c r="M90" i="1"/>
  <c r="I91" i="1"/>
  <c r="M91" i="1"/>
  <c r="K156" i="2"/>
  <c r="K143" i="2"/>
  <c r="M134" i="1"/>
  <c r="K3" i="7"/>
  <c r="H3" i="7"/>
  <c r="H7" i="7"/>
  <c r="I148" i="1"/>
  <c r="G193" i="2"/>
  <c r="G192" i="2"/>
  <c r="G191" i="2"/>
  <c r="I164" i="1"/>
  <c r="M41" i="1"/>
  <c r="I41" i="1"/>
  <c r="K46" i="2"/>
  <c r="G46" i="2"/>
  <c r="G44" i="2"/>
  <c r="K44" i="2"/>
  <c r="K41" i="2"/>
  <c r="G41" i="2"/>
  <c r="M39" i="1"/>
  <c r="I39" i="1"/>
  <c r="M36" i="1"/>
  <c r="I36" i="1"/>
  <c r="I62" i="1"/>
  <c r="M105" i="1"/>
  <c r="G204" i="2"/>
  <c r="K195" i="2"/>
  <c r="G195" i="2"/>
  <c r="G194" i="2"/>
  <c r="G187" i="2"/>
  <c r="K187" i="2"/>
  <c r="K183" i="2"/>
  <c r="G183" i="2"/>
  <c r="K179" i="2"/>
  <c r="G179" i="2"/>
  <c r="K174" i="2"/>
  <c r="G174" i="2"/>
  <c r="K38" i="2"/>
  <c r="K171" i="2"/>
  <c r="G171" i="2"/>
  <c r="K168" i="2"/>
  <c r="G168" i="2"/>
  <c r="K167" i="2"/>
  <c r="G167" i="2"/>
  <c r="K166" i="2"/>
  <c r="G166" i="2"/>
  <c r="K165" i="2"/>
  <c r="G165" i="2"/>
  <c r="K164" i="2"/>
  <c r="G164" i="2"/>
  <c r="K162" i="2"/>
  <c r="G162" i="2"/>
  <c r="K157" i="2"/>
  <c r="G157" i="2"/>
  <c r="K140" i="2"/>
  <c r="G140" i="2"/>
  <c r="K136" i="2"/>
  <c r="G136" i="2"/>
  <c r="K133" i="2"/>
  <c r="G133" i="2"/>
  <c r="K122" i="2"/>
  <c r="G122" i="2"/>
  <c r="K101" i="2"/>
  <c r="G101" i="2"/>
  <c r="G120" i="2"/>
  <c r="K114" i="2"/>
  <c r="K113" i="2"/>
  <c r="G113" i="2"/>
  <c r="K111" i="2"/>
  <c r="G111" i="2"/>
  <c r="K107" i="2"/>
  <c r="G107" i="2"/>
  <c r="K94" i="2"/>
  <c r="G94" i="2"/>
  <c r="K89" i="2"/>
  <c r="G89" i="2"/>
  <c r="K84" i="2"/>
  <c r="K82" i="2"/>
  <c r="G82" i="2"/>
  <c r="K67" i="2"/>
  <c r="G67" i="2"/>
  <c r="G66" i="2"/>
  <c r="K65" i="2"/>
  <c r="G65" i="2"/>
  <c r="K64" i="2"/>
  <c r="G64" i="2"/>
  <c r="K61" i="2"/>
  <c r="G61" i="2"/>
  <c r="K59" i="2"/>
  <c r="G59" i="2"/>
  <c r="K57" i="2"/>
  <c r="G57" i="2"/>
  <c r="K47" i="2"/>
  <c r="G47" i="2"/>
  <c r="K35" i="2"/>
  <c r="G35" i="2"/>
  <c r="K34" i="2"/>
  <c r="G34" i="2"/>
  <c r="K33" i="2"/>
  <c r="G33" i="2"/>
  <c r="K32" i="2"/>
  <c r="G32" i="2"/>
  <c r="K37" i="2"/>
  <c r="G37" i="2"/>
  <c r="K36" i="2"/>
  <c r="G36" i="2"/>
  <c r="K27" i="2"/>
  <c r="G27" i="2"/>
  <c r="G26" i="2"/>
  <c r="G25" i="2"/>
  <c r="K24" i="2"/>
  <c r="G24" i="2"/>
  <c r="K23" i="2"/>
  <c r="G23" i="2"/>
  <c r="K21" i="2"/>
  <c r="G21" i="2"/>
  <c r="K20" i="2"/>
  <c r="G20" i="2"/>
  <c r="K19" i="2"/>
  <c r="G19" i="2"/>
  <c r="K18" i="2"/>
  <c r="G18" i="2"/>
  <c r="G14" i="2"/>
  <c r="K13" i="2"/>
  <c r="G13" i="2"/>
  <c r="K12" i="2"/>
  <c r="G12" i="2"/>
  <c r="K11" i="2"/>
  <c r="G11" i="2"/>
  <c r="G10" i="2"/>
  <c r="K9" i="2"/>
  <c r="G9" i="2"/>
  <c r="K8" i="2"/>
  <c r="G8" i="2"/>
  <c r="G4" i="2"/>
  <c r="I188" i="1"/>
  <c r="I186" i="1"/>
  <c r="I185" i="1"/>
  <c r="I184" i="1"/>
  <c r="I183" i="1"/>
  <c r="D182" i="1"/>
  <c r="M179" i="1"/>
  <c r="I179" i="1"/>
  <c r="I178" i="1"/>
  <c r="M164" i="1"/>
  <c r="M35" i="1"/>
  <c r="M162" i="1"/>
  <c r="I162" i="1"/>
  <c r="M148" i="1"/>
  <c r="M124" i="1"/>
  <c r="M113" i="1"/>
  <c r="M83" i="1"/>
  <c r="I83" i="1"/>
  <c r="I111" i="1"/>
  <c r="M102" i="1"/>
  <c r="I102" i="1"/>
  <c r="I101" i="1"/>
  <c r="I100" i="1"/>
  <c r="M98" i="1"/>
  <c r="I98" i="1"/>
  <c r="M93" i="1"/>
  <c r="M62" i="1"/>
  <c r="M60" i="1"/>
  <c r="I60" i="1"/>
  <c r="M59" i="1"/>
  <c r="I59" i="1"/>
  <c r="M42" i="1"/>
  <c r="I42" i="1"/>
  <c r="I32" i="1"/>
  <c r="I31" i="1"/>
  <c r="I30" i="1"/>
  <c r="M34" i="1"/>
  <c r="M23" i="1"/>
  <c r="I22" i="1"/>
  <c r="I21" i="1"/>
  <c r="M20" i="1"/>
  <c r="I20" i="1"/>
  <c r="M19" i="1"/>
  <c r="I19" i="1"/>
  <c r="M15" i="1"/>
  <c r="I15" i="1"/>
  <c r="M14" i="1"/>
  <c r="I14" i="1"/>
  <c r="I10" i="1"/>
  <c r="M9" i="1"/>
  <c r="I9" i="1"/>
  <c r="M8" i="1"/>
  <c r="I8" i="1"/>
  <c r="M7" i="1"/>
  <c r="I7" i="1"/>
  <c r="I6" i="1"/>
  <c r="M5" i="1"/>
  <c r="I5" i="1"/>
  <c r="M4" i="1"/>
  <c r="I4" i="1"/>
  <c r="I3" i="1"/>
  <c r="I182" i="1"/>
  <c r="G92" i="2"/>
  <c r="G93" i="2"/>
  <c r="G198" i="2"/>
  <c r="G203" i="2"/>
  <c r="G205" i="2"/>
  <c r="I187" i="1" l="1"/>
  <c r="I189" i="1" s="1"/>
</calcChain>
</file>

<file path=xl/comments1.xml><?xml version="1.0" encoding="utf-8"?>
<comments xmlns="http://schemas.openxmlformats.org/spreadsheetml/2006/main">
  <authors>
    <author>作者</author>
  </authors>
  <commentList>
    <comment ref="C4" authorId="0">
      <text>
        <r>
          <rPr>
            <b/>
            <sz val="9"/>
            <color indexed="81"/>
            <rFont val="宋体"/>
            <family val="3"/>
            <charset val="134"/>
          </rPr>
          <t>注意</t>
        </r>
        <r>
          <rPr>
            <b/>
            <sz val="9"/>
            <color indexed="81"/>
            <rFont val="Tahoma"/>
            <family val="2"/>
          </rPr>
          <t>:</t>
        </r>
        <r>
          <rPr>
            <sz val="9"/>
            <color indexed="81"/>
            <rFont val="Tahoma"/>
            <family val="2"/>
          </rPr>
          <t xml:space="preserve">
</t>
        </r>
        <r>
          <rPr>
            <sz val="9"/>
            <color indexed="81"/>
            <rFont val="宋体"/>
            <family val="3"/>
            <charset val="134"/>
          </rPr>
          <t>并发报价与注册报价模式只能选择其一。</t>
        </r>
      </text>
    </comment>
    <comment ref="C5" authorId="0">
      <text>
        <r>
          <rPr>
            <b/>
            <sz val="9"/>
            <color indexed="81"/>
            <rFont val="宋体"/>
            <family val="3"/>
            <charset val="134"/>
          </rPr>
          <t>作者:</t>
        </r>
        <r>
          <rPr>
            <sz val="9"/>
            <color indexed="81"/>
            <rFont val="宋体"/>
            <family val="3"/>
            <charset val="134"/>
          </rPr>
          <t xml:space="preserve">
注意</t>
        </r>
        <r>
          <rPr>
            <sz val="9"/>
            <color indexed="81"/>
            <rFont val="Tahoma"/>
            <family val="2"/>
          </rPr>
          <t xml:space="preserve">:
</t>
        </r>
        <r>
          <rPr>
            <sz val="9"/>
            <color indexed="81"/>
            <rFont val="宋体"/>
            <family val="3"/>
            <charset val="134"/>
          </rPr>
          <t>并发报价与注册报价模式只能选择其一。</t>
        </r>
      </text>
    </comment>
    <comment ref="C9" authorId="0">
      <text>
        <r>
          <rPr>
            <b/>
            <sz val="9"/>
            <color indexed="81"/>
            <rFont val="宋体"/>
            <family val="3"/>
            <charset val="134"/>
          </rPr>
          <t>注意</t>
        </r>
        <r>
          <rPr>
            <b/>
            <sz val="9"/>
            <color indexed="81"/>
            <rFont val="Tahoma"/>
            <family val="2"/>
          </rPr>
          <t xml:space="preserve">:
</t>
        </r>
        <r>
          <rPr>
            <b/>
            <sz val="9"/>
            <color indexed="81"/>
            <rFont val="宋体"/>
            <family val="3"/>
            <charset val="134"/>
          </rPr>
          <t>选择任何软件，该项服务为必选项，与软件产品捆绑销售。</t>
        </r>
      </text>
    </comment>
  </commentList>
</comments>
</file>

<file path=xl/comments2.xml><?xml version="1.0" encoding="utf-8"?>
<comments xmlns="http://schemas.openxmlformats.org/spreadsheetml/2006/main">
  <authors>
    <author>作者</author>
  </authors>
  <commentList>
    <comment ref="C17" authorId="0">
      <text>
        <r>
          <rPr>
            <sz val="9"/>
            <color indexed="81"/>
            <rFont val="宋体"/>
            <family val="3"/>
            <charset val="134"/>
          </rPr>
          <t xml:space="preserve">录入专家人天数
</t>
        </r>
        <r>
          <rPr>
            <sz val="9"/>
            <color indexed="81"/>
            <rFont val="Tahoma"/>
            <family val="2"/>
          </rPr>
          <t xml:space="preserve">
</t>
        </r>
      </text>
    </comment>
    <comment ref="C18" authorId="0">
      <text>
        <r>
          <rPr>
            <b/>
            <sz val="9"/>
            <color indexed="81"/>
            <rFont val="宋体"/>
            <family val="3"/>
            <charset val="134"/>
          </rPr>
          <t>录入人天数</t>
        </r>
        <r>
          <rPr>
            <b/>
            <sz val="9"/>
            <color indexed="81"/>
            <rFont val="Tahoma"/>
            <family val="2"/>
          </rPr>
          <t>*</t>
        </r>
        <r>
          <rPr>
            <b/>
            <sz val="9"/>
            <color indexed="81"/>
            <rFont val="宋体"/>
            <family val="3"/>
            <charset val="134"/>
          </rPr>
          <t>对应职称的人天报价</t>
        </r>
        <r>
          <rPr>
            <sz val="9"/>
            <color indexed="81"/>
            <rFont val="Tahoma"/>
            <family val="2"/>
          </rPr>
          <t xml:space="preserve">
</t>
        </r>
      </text>
    </comment>
  </commentList>
</comments>
</file>

<file path=xl/comments3.xml><?xml version="1.0" encoding="utf-8"?>
<comments xmlns="http://schemas.openxmlformats.org/spreadsheetml/2006/main">
  <authors>
    <author>作者</author>
  </authors>
  <commentList>
    <comment ref="H18" authorId="0">
      <text>
        <r>
          <rPr>
            <sz val="9"/>
            <color indexed="81"/>
            <rFont val="宋体"/>
            <family val="3"/>
            <charset val="134"/>
          </rPr>
          <t>录入服务的人数</t>
        </r>
        <r>
          <rPr>
            <sz val="9"/>
            <color indexed="81"/>
            <rFont val="Tahoma"/>
            <family val="2"/>
          </rPr>
          <t xml:space="preserve">
</t>
        </r>
      </text>
    </comment>
    <comment ref="H19" authorId="0">
      <text>
        <r>
          <rPr>
            <sz val="9"/>
            <color indexed="81"/>
            <rFont val="宋体"/>
            <family val="3"/>
            <charset val="134"/>
          </rPr>
          <t>录入服务的人数</t>
        </r>
        <r>
          <rPr>
            <sz val="9"/>
            <color indexed="81"/>
            <rFont val="Tahoma"/>
            <family val="2"/>
          </rPr>
          <t xml:space="preserve">
</t>
        </r>
      </text>
    </comment>
    <comment ref="H20" authorId="0">
      <text>
        <r>
          <rPr>
            <sz val="9"/>
            <color indexed="81"/>
            <rFont val="宋体"/>
            <family val="3"/>
            <charset val="134"/>
          </rPr>
          <t>录入服务的人数</t>
        </r>
        <r>
          <rPr>
            <sz val="9"/>
            <color indexed="81"/>
            <rFont val="Tahoma"/>
            <family val="2"/>
          </rPr>
          <t xml:space="preserve">
</t>
        </r>
      </text>
    </comment>
    <comment ref="H21" authorId="0">
      <text>
        <r>
          <rPr>
            <sz val="9"/>
            <color indexed="81"/>
            <rFont val="宋体"/>
            <family val="3"/>
            <charset val="134"/>
          </rPr>
          <t>录入服务的人数</t>
        </r>
        <r>
          <rPr>
            <sz val="9"/>
            <color indexed="81"/>
            <rFont val="Tahoma"/>
            <family val="2"/>
          </rPr>
          <t xml:space="preserve">
</t>
        </r>
      </text>
    </comment>
    <comment ref="H22" authorId="0">
      <text>
        <r>
          <rPr>
            <sz val="9"/>
            <color indexed="81"/>
            <rFont val="宋体"/>
            <family val="3"/>
            <charset val="134"/>
          </rPr>
          <t>录入服务的人数</t>
        </r>
        <r>
          <rPr>
            <sz val="9"/>
            <color indexed="81"/>
            <rFont val="Tahoma"/>
            <family val="2"/>
          </rPr>
          <t xml:space="preserve">
</t>
        </r>
      </text>
    </comment>
    <comment ref="H23" authorId="0">
      <text>
        <r>
          <rPr>
            <b/>
            <sz val="9"/>
            <color indexed="81"/>
            <rFont val="宋体"/>
            <family val="3"/>
            <charset val="134"/>
          </rPr>
          <t>录入服务人天数</t>
        </r>
      </text>
    </comment>
    <comment ref="H24" authorId="0">
      <text>
        <r>
          <rPr>
            <sz val="9"/>
            <color indexed="81"/>
            <rFont val="宋体"/>
            <family val="3"/>
            <charset val="134"/>
          </rPr>
          <t>录入巡检次数</t>
        </r>
        <r>
          <rPr>
            <sz val="9"/>
            <color indexed="81"/>
            <rFont val="Tahoma"/>
            <family val="2"/>
          </rPr>
          <t xml:space="preserve">
</t>
        </r>
      </text>
    </comment>
    <comment ref="H25" authorId="0">
      <text>
        <r>
          <rPr>
            <b/>
            <sz val="9"/>
            <color indexed="81"/>
            <rFont val="宋体"/>
            <family val="3"/>
            <charset val="134"/>
          </rPr>
          <t xml:space="preserve">录入参加人数，免费的人员不包含在内
</t>
        </r>
      </text>
    </comment>
    <comment ref="H26" authorId="0">
      <text>
        <r>
          <rPr>
            <sz val="9"/>
            <color indexed="81"/>
            <rFont val="宋体"/>
            <family val="3"/>
            <charset val="134"/>
          </rPr>
          <t>录入服务的人数</t>
        </r>
        <r>
          <rPr>
            <sz val="9"/>
            <color indexed="81"/>
            <rFont val="Tahoma"/>
            <family val="2"/>
          </rPr>
          <t xml:space="preserve">
</t>
        </r>
      </text>
    </comment>
    <comment ref="H27" authorId="0">
      <text>
        <r>
          <rPr>
            <sz val="9"/>
            <color indexed="81"/>
            <rFont val="宋体"/>
            <family val="3"/>
            <charset val="134"/>
          </rPr>
          <t>录入服务的人数</t>
        </r>
        <r>
          <rPr>
            <sz val="9"/>
            <color indexed="81"/>
            <rFont val="Tahoma"/>
            <family val="2"/>
          </rPr>
          <t xml:space="preserve">
</t>
        </r>
      </text>
    </comment>
    <comment ref="H28" authorId="0">
      <text>
        <r>
          <rPr>
            <sz val="9"/>
            <color indexed="81"/>
            <rFont val="宋体"/>
            <family val="3"/>
            <charset val="134"/>
          </rPr>
          <t>录入服务的人数</t>
        </r>
        <r>
          <rPr>
            <sz val="9"/>
            <color indexed="81"/>
            <rFont val="Tahoma"/>
            <family val="2"/>
          </rPr>
          <t xml:space="preserve">
</t>
        </r>
      </text>
    </comment>
    <comment ref="H29" authorId="0">
      <text>
        <r>
          <rPr>
            <sz val="9"/>
            <color indexed="81"/>
            <rFont val="宋体"/>
            <family val="3"/>
            <charset val="134"/>
          </rPr>
          <t>录入服务的人数</t>
        </r>
        <r>
          <rPr>
            <sz val="9"/>
            <color indexed="81"/>
            <rFont val="Tahoma"/>
            <family val="2"/>
          </rPr>
          <t xml:space="preserve">
</t>
        </r>
      </text>
    </comment>
    <comment ref="H30" authorId="0">
      <text>
        <r>
          <rPr>
            <sz val="9"/>
            <color indexed="81"/>
            <rFont val="宋体"/>
            <family val="3"/>
            <charset val="134"/>
          </rPr>
          <t>录入服务的人数</t>
        </r>
        <r>
          <rPr>
            <sz val="9"/>
            <color indexed="81"/>
            <rFont val="Tahoma"/>
            <family val="2"/>
          </rPr>
          <t xml:space="preserve">
</t>
        </r>
      </text>
    </comment>
    <comment ref="H31" authorId="0">
      <text>
        <r>
          <rPr>
            <sz val="9"/>
            <color indexed="81"/>
            <rFont val="宋体"/>
            <family val="3"/>
            <charset val="134"/>
          </rPr>
          <t>录入服务的人数</t>
        </r>
        <r>
          <rPr>
            <sz val="9"/>
            <color indexed="81"/>
            <rFont val="Tahoma"/>
            <family val="2"/>
          </rPr>
          <t xml:space="preserve">
</t>
        </r>
      </text>
    </comment>
    <comment ref="H32" authorId="0">
      <text>
        <r>
          <rPr>
            <sz val="9"/>
            <color indexed="81"/>
            <rFont val="宋体"/>
            <family val="3"/>
            <charset val="134"/>
          </rPr>
          <t>录入服务的人数</t>
        </r>
        <r>
          <rPr>
            <sz val="9"/>
            <color indexed="81"/>
            <rFont val="Tahoma"/>
            <family val="2"/>
          </rPr>
          <t xml:space="preserve">
</t>
        </r>
      </text>
    </comment>
    <comment ref="H33" authorId="0">
      <text>
        <r>
          <rPr>
            <sz val="9"/>
            <color indexed="81"/>
            <rFont val="宋体"/>
            <family val="3"/>
            <charset val="134"/>
          </rPr>
          <t>录入服务的人数</t>
        </r>
        <r>
          <rPr>
            <sz val="9"/>
            <color indexed="81"/>
            <rFont val="Tahoma"/>
            <family val="2"/>
          </rPr>
          <t xml:space="preserve">
</t>
        </r>
      </text>
    </comment>
    <comment ref="H34" authorId="0">
      <text>
        <r>
          <rPr>
            <sz val="9"/>
            <color indexed="81"/>
            <rFont val="宋体"/>
            <family val="3"/>
            <charset val="134"/>
          </rPr>
          <t>录入服务的人数</t>
        </r>
        <r>
          <rPr>
            <sz val="9"/>
            <color indexed="81"/>
            <rFont val="Tahoma"/>
            <family val="2"/>
          </rPr>
          <t xml:space="preserve">
</t>
        </r>
      </text>
    </comment>
    <comment ref="H35" authorId="0">
      <text>
        <r>
          <rPr>
            <sz val="9"/>
            <color indexed="81"/>
            <rFont val="宋体"/>
            <family val="3"/>
            <charset val="134"/>
          </rPr>
          <t>录入服务的人数</t>
        </r>
        <r>
          <rPr>
            <sz val="9"/>
            <color indexed="81"/>
            <rFont val="Tahoma"/>
            <family val="2"/>
          </rPr>
          <t xml:space="preserve">
</t>
        </r>
      </text>
    </comment>
    <comment ref="H36" authorId="0">
      <text>
        <r>
          <rPr>
            <sz val="9"/>
            <color indexed="81"/>
            <rFont val="宋体"/>
            <family val="3"/>
            <charset val="134"/>
          </rPr>
          <t>录入服务的人数</t>
        </r>
        <r>
          <rPr>
            <sz val="9"/>
            <color indexed="81"/>
            <rFont val="Tahoma"/>
            <family val="2"/>
          </rPr>
          <t xml:space="preserve">
</t>
        </r>
      </text>
    </comment>
    <comment ref="H37" authorId="0">
      <text>
        <r>
          <rPr>
            <sz val="9"/>
            <color indexed="81"/>
            <rFont val="宋体"/>
            <family val="3"/>
            <charset val="134"/>
          </rPr>
          <t>录入服务的人数</t>
        </r>
        <r>
          <rPr>
            <sz val="9"/>
            <color indexed="81"/>
            <rFont val="Tahoma"/>
            <family val="2"/>
          </rPr>
          <t xml:space="preserve">
</t>
        </r>
      </text>
    </comment>
    <comment ref="H38" authorId="0">
      <text>
        <r>
          <rPr>
            <sz val="9"/>
            <color indexed="81"/>
            <rFont val="宋体"/>
            <family val="3"/>
            <charset val="134"/>
          </rPr>
          <t>录入服务的人数</t>
        </r>
        <r>
          <rPr>
            <sz val="9"/>
            <color indexed="81"/>
            <rFont val="Tahoma"/>
            <family val="2"/>
          </rPr>
          <t xml:space="preserve">
</t>
        </r>
      </text>
    </comment>
    <comment ref="H39" authorId="0">
      <text>
        <r>
          <rPr>
            <sz val="9"/>
            <color indexed="81"/>
            <rFont val="宋体"/>
            <family val="3"/>
            <charset val="134"/>
          </rPr>
          <t>录入服务的人数</t>
        </r>
        <r>
          <rPr>
            <sz val="9"/>
            <color indexed="81"/>
            <rFont val="Tahoma"/>
            <family val="2"/>
          </rPr>
          <t xml:space="preserve">
</t>
        </r>
      </text>
    </comment>
    <comment ref="H40" authorId="0">
      <text>
        <r>
          <rPr>
            <sz val="9"/>
            <color indexed="81"/>
            <rFont val="宋体"/>
            <family val="3"/>
            <charset val="134"/>
          </rPr>
          <t>录入服务的人数</t>
        </r>
        <r>
          <rPr>
            <sz val="9"/>
            <color indexed="81"/>
            <rFont val="Tahoma"/>
            <family val="2"/>
          </rPr>
          <t xml:space="preserve">
</t>
        </r>
      </text>
    </comment>
    <comment ref="H41" authorId="0">
      <text>
        <r>
          <rPr>
            <sz val="9"/>
            <color indexed="81"/>
            <rFont val="宋体"/>
            <family val="3"/>
            <charset val="134"/>
          </rPr>
          <t>录入服务的人数</t>
        </r>
        <r>
          <rPr>
            <sz val="9"/>
            <color indexed="81"/>
            <rFont val="Tahoma"/>
            <family val="2"/>
          </rPr>
          <t xml:space="preserve">
</t>
        </r>
      </text>
    </comment>
    <comment ref="H42" authorId="0">
      <text>
        <r>
          <rPr>
            <sz val="9"/>
            <color indexed="81"/>
            <rFont val="宋体"/>
            <family val="3"/>
            <charset val="134"/>
          </rPr>
          <t>录入服务的人数</t>
        </r>
        <r>
          <rPr>
            <sz val="9"/>
            <color indexed="81"/>
            <rFont val="Tahoma"/>
            <family val="2"/>
          </rPr>
          <t xml:space="preserve">
</t>
        </r>
      </text>
    </comment>
    <comment ref="H43" authorId="0">
      <text>
        <r>
          <rPr>
            <sz val="9"/>
            <color indexed="81"/>
            <rFont val="宋体"/>
            <family val="3"/>
            <charset val="134"/>
          </rPr>
          <t>录入服务的人数</t>
        </r>
        <r>
          <rPr>
            <sz val="9"/>
            <color indexed="81"/>
            <rFont val="Tahoma"/>
            <family val="2"/>
          </rPr>
          <t xml:space="preserve">
</t>
        </r>
      </text>
    </comment>
    <comment ref="H44" authorId="0">
      <text>
        <r>
          <rPr>
            <sz val="9"/>
            <color indexed="81"/>
            <rFont val="宋体"/>
            <family val="3"/>
            <charset val="134"/>
          </rPr>
          <t>录入服务的人数</t>
        </r>
        <r>
          <rPr>
            <sz val="9"/>
            <color indexed="81"/>
            <rFont val="Tahoma"/>
            <family val="2"/>
          </rPr>
          <t xml:space="preserve">
</t>
        </r>
      </text>
    </comment>
    <comment ref="H45" authorId="0">
      <text>
        <r>
          <rPr>
            <sz val="9"/>
            <color indexed="81"/>
            <rFont val="宋体"/>
            <family val="3"/>
            <charset val="134"/>
          </rPr>
          <t>录入服务的人数</t>
        </r>
        <r>
          <rPr>
            <sz val="9"/>
            <color indexed="81"/>
            <rFont val="Tahoma"/>
            <family val="2"/>
          </rPr>
          <t xml:space="preserve">
</t>
        </r>
      </text>
    </comment>
    <comment ref="H46" authorId="0">
      <text>
        <r>
          <rPr>
            <sz val="9"/>
            <color indexed="81"/>
            <rFont val="宋体"/>
            <family val="3"/>
            <charset val="134"/>
          </rPr>
          <t>录入服务的人数</t>
        </r>
        <r>
          <rPr>
            <sz val="9"/>
            <color indexed="81"/>
            <rFont val="Tahoma"/>
            <family val="2"/>
          </rPr>
          <t xml:space="preserve">
</t>
        </r>
      </text>
    </comment>
    <comment ref="H47" authorId="0">
      <text>
        <r>
          <rPr>
            <sz val="9"/>
            <color indexed="81"/>
            <rFont val="宋体"/>
            <family val="3"/>
            <charset val="134"/>
          </rPr>
          <t>录入服务的人数</t>
        </r>
        <r>
          <rPr>
            <sz val="9"/>
            <color indexed="81"/>
            <rFont val="Tahoma"/>
            <family val="2"/>
          </rPr>
          <t xml:space="preserve">
</t>
        </r>
      </text>
    </comment>
    <comment ref="H48" authorId="0">
      <text>
        <r>
          <rPr>
            <sz val="9"/>
            <color indexed="81"/>
            <rFont val="宋体"/>
            <family val="3"/>
            <charset val="134"/>
          </rPr>
          <t>录入服务的人数</t>
        </r>
        <r>
          <rPr>
            <sz val="9"/>
            <color indexed="81"/>
            <rFont val="Tahoma"/>
            <family val="2"/>
          </rPr>
          <t xml:space="preserve">
</t>
        </r>
      </text>
    </comment>
    <comment ref="H49" authorId="0">
      <text>
        <r>
          <rPr>
            <sz val="9"/>
            <color indexed="81"/>
            <rFont val="宋体"/>
            <family val="3"/>
            <charset val="134"/>
          </rPr>
          <t>录入服务的人数</t>
        </r>
        <r>
          <rPr>
            <sz val="9"/>
            <color indexed="81"/>
            <rFont val="Tahoma"/>
            <family val="2"/>
          </rPr>
          <t xml:space="preserve">
</t>
        </r>
      </text>
    </comment>
    <comment ref="H50" authorId="0">
      <text>
        <r>
          <rPr>
            <sz val="9"/>
            <color indexed="81"/>
            <rFont val="宋体"/>
            <family val="3"/>
            <charset val="134"/>
          </rPr>
          <t>录入服务的人数</t>
        </r>
        <r>
          <rPr>
            <sz val="9"/>
            <color indexed="81"/>
            <rFont val="Tahoma"/>
            <family val="2"/>
          </rPr>
          <t xml:space="preserve">
</t>
        </r>
      </text>
    </comment>
    <comment ref="H51" authorId="0">
      <text>
        <r>
          <rPr>
            <sz val="9"/>
            <color indexed="81"/>
            <rFont val="宋体"/>
            <family val="3"/>
            <charset val="134"/>
          </rPr>
          <t>录入服务的人数</t>
        </r>
        <r>
          <rPr>
            <sz val="9"/>
            <color indexed="81"/>
            <rFont val="Tahoma"/>
            <family val="2"/>
          </rPr>
          <t xml:space="preserve">
</t>
        </r>
      </text>
    </comment>
    <comment ref="H52" authorId="0">
      <text>
        <r>
          <rPr>
            <sz val="9"/>
            <color indexed="81"/>
            <rFont val="宋体"/>
            <family val="3"/>
            <charset val="134"/>
          </rPr>
          <t>录入服务的人数</t>
        </r>
        <r>
          <rPr>
            <sz val="9"/>
            <color indexed="81"/>
            <rFont val="Tahoma"/>
            <family val="2"/>
          </rPr>
          <t xml:space="preserve">
</t>
        </r>
      </text>
    </comment>
    <comment ref="H53" authorId="0">
      <text>
        <r>
          <rPr>
            <sz val="9"/>
            <color indexed="81"/>
            <rFont val="宋体"/>
            <family val="3"/>
            <charset val="134"/>
          </rPr>
          <t>录入服务的人数</t>
        </r>
        <r>
          <rPr>
            <sz val="9"/>
            <color indexed="81"/>
            <rFont val="Tahoma"/>
            <family val="2"/>
          </rPr>
          <t xml:space="preserve">
</t>
        </r>
      </text>
    </comment>
    <comment ref="H54" authorId="0">
      <text>
        <r>
          <rPr>
            <sz val="9"/>
            <color indexed="81"/>
            <rFont val="宋体"/>
            <family val="3"/>
            <charset val="134"/>
          </rPr>
          <t>录入服务的人数</t>
        </r>
        <r>
          <rPr>
            <sz val="9"/>
            <color indexed="81"/>
            <rFont val="Tahoma"/>
            <family val="2"/>
          </rPr>
          <t xml:space="preserve">
</t>
        </r>
      </text>
    </comment>
    <comment ref="H55" authorId="0">
      <text>
        <r>
          <rPr>
            <sz val="9"/>
            <color indexed="81"/>
            <rFont val="宋体"/>
            <family val="3"/>
            <charset val="134"/>
          </rPr>
          <t>录入服务的人数</t>
        </r>
        <r>
          <rPr>
            <sz val="9"/>
            <color indexed="81"/>
            <rFont val="Tahoma"/>
            <family val="2"/>
          </rPr>
          <t xml:space="preserve">
</t>
        </r>
      </text>
    </comment>
    <comment ref="H56" authorId="0">
      <text>
        <r>
          <rPr>
            <sz val="9"/>
            <color indexed="81"/>
            <rFont val="宋体"/>
            <family val="3"/>
            <charset val="134"/>
          </rPr>
          <t>录入服务的人数</t>
        </r>
        <r>
          <rPr>
            <sz val="9"/>
            <color indexed="81"/>
            <rFont val="Tahoma"/>
            <family val="2"/>
          </rPr>
          <t xml:space="preserve">
</t>
        </r>
      </text>
    </comment>
    <comment ref="H57" authorId="0">
      <text>
        <r>
          <rPr>
            <sz val="9"/>
            <color indexed="81"/>
            <rFont val="宋体"/>
            <family val="3"/>
            <charset val="134"/>
          </rPr>
          <t>录入服务的人数</t>
        </r>
        <r>
          <rPr>
            <sz val="9"/>
            <color indexed="81"/>
            <rFont val="Tahoma"/>
            <family val="2"/>
          </rPr>
          <t xml:space="preserve">
</t>
        </r>
      </text>
    </comment>
    <comment ref="H58" authorId="0">
      <text>
        <r>
          <rPr>
            <sz val="9"/>
            <color indexed="81"/>
            <rFont val="宋体"/>
            <family val="3"/>
            <charset val="134"/>
          </rPr>
          <t>录入服务的人数</t>
        </r>
        <r>
          <rPr>
            <sz val="9"/>
            <color indexed="81"/>
            <rFont val="Tahoma"/>
            <family val="2"/>
          </rPr>
          <t xml:space="preserve">
</t>
        </r>
      </text>
    </comment>
    <comment ref="H59" authorId="0">
      <text>
        <r>
          <rPr>
            <sz val="9"/>
            <color indexed="81"/>
            <rFont val="宋体"/>
            <family val="3"/>
            <charset val="134"/>
          </rPr>
          <t>录入服务的人数</t>
        </r>
        <r>
          <rPr>
            <sz val="9"/>
            <color indexed="81"/>
            <rFont val="Tahoma"/>
            <family val="2"/>
          </rPr>
          <t xml:space="preserve">
</t>
        </r>
      </text>
    </comment>
    <comment ref="H60" authorId="0">
      <text>
        <r>
          <rPr>
            <sz val="9"/>
            <color indexed="81"/>
            <rFont val="宋体"/>
            <family val="3"/>
            <charset val="134"/>
          </rPr>
          <t>录入服务的人数</t>
        </r>
        <r>
          <rPr>
            <sz val="9"/>
            <color indexed="81"/>
            <rFont val="Tahoma"/>
            <family val="2"/>
          </rPr>
          <t xml:space="preserve">
</t>
        </r>
      </text>
    </comment>
    <comment ref="H61" authorId="0">
      <text>
        <r>
          <rPr>
            <sz val="9"/>
            <color indexed="81"/>
            <rFont val="宋体"/>
            <family val="3"/>
            <charset val="134"/>
          </rPr>
          <t>录入服务的人数</t>
        </r>
        <r>
          <rPr>
            <sz val="9"/>
            <color indexed="81"/>
            <rFont val="Tahoma"/>
            <family val="2"/>
          </rPr>
          <t xml:space="preserve">
</t>
        </r>
      </text>
    </comment>
    <comment ref="H62" authorId="0">
      <text>
        <r>
          <rPr>
            <sz val="9"/>
            <color indexed="81"/>
            <rFont val="宋体"/>
            <family val="3"/>
            <charset val="134"/>
          </rPr>
          <t>录入服务的人数</t>
        </r>
        <r>
          <rPr>
            <sz val="9"/>
            <color indexed="81"/>
            <rFont val="Tahoma"/>
            <family val="2"/>
          </rPr>
          <t xml:space="preserve">
</t>
        </r>
      </text>
    </comment>
    <comment ref="H63" authorId="0">
      <text>
        <r>
          <rPr>
            <sz val="9"/>
            <color indexed="81"/>
            <rFont val="宋体"/>
            <family val="3"/>
            <charset val="134"/>
          </rPr>
          <t>录入服务的人数</t>
        </r>
        <r>
          <rPr>
            <sz val="9"/>
            <color indexed="81"/>
            <rFont val="Tahoma"/>
            <family val="2"/>
          </rPr>
          <t xml:space="preserve">
</t>
        </r>
      </text>
    </comment>
    <comment ref="H64" authorId="0">
      <text>
        <r>
          <rPr>
            <sz val="9"/>
            <color indexed="81"/>
            <rFont val="宋体"/>
            <family val="3"/>
            <charset val="134"/>
          </rPr>
          <t>录入服务的人数</t>
        </r>
        <r>
          <rPr>
            <sz val="9"/>
            <color indexed="81"/>
            <rFont val="Tahoma"/>
            <family val="2"/>
          </rPr>
          <t xml:space="preserve">
</t>
        </r>
      </text>
    </comment>
    <comment ref="H65" authorId="0">
      <text>
        <r>
          <rPr>
            <sz val="9"/>
            <color indexed="81"/>
            <rFont val="宋体"/>
            <family val="3"/>
            <charset val="134"/>
          </rPr>
          <t>录入服务的人数</t>
        </r>
        <r>
          <rPr>
            <sz val="9"/>
            <color indexed="81"/>
            <rFont val="Tahoma"/>
            <family val="2"/>
          </rPr>
          <t xml:space="preserve">
</t>
        </r>
      </text>
    </comment>
    <comment ref="H66" authorId="0">
      <text>
        <r>
          <rPr>
            <sz val="9"/>
            <color indexed="81"/>
            <rFont val="宋体"/>
            <family val="3"/>
            <charset val="134"/>
          </rPr>
          <t>录入服务的人数</t>
        </r>
        <r>
          <rPr>
            <sz val="9"/>
            <color indexed="81"/>
            <rFont val="Tahoma"/>
            <family val="2"/>
          </rPr>
          <t xml:space="preserve">
</t>
        </r>
      </text>
    </comment>
    <comment ref="H67" authorId="0">
      <text>
        <r>
          <rPr>
            <sz val="9"/>
            <color indexed="81"/>
            <rFont val="宋体"/>
            <family val="3"/>
            <charset val="134"/>
          </rPr>
          <t>录入服务的人数</t>
        </r>
        <r>
          <rPr>
            <sz val="9"/>
            <color indexed="81"/>
            <rFont val="Tahoma"/>
            <family val="2"/>
          </rPr>
          <t xml:space="preserve">
</t>
        </r>
      </text>
    </comment>
    <comment ref="H68" authorId="0">
      <text>
        <r>
          <rPr>
            <sz val="9"/>
            <color indexed="81"/>
            <rFont val="宋体"/>
            <family val="3"/>
            <charset val="134"/>
          </rPr>
          <t>录入服务的人数</t>
        </r>
        <r>
          <rPr>
            <sz val="9"/>
            <color indexed="81"/>
            <rFont val="Tahoma"/>
            <family val="2"/>
          </rPr>
          <t xml:space="preserve">
</t>
        </r>
      </text>
    </comment>
    <comment ref="H69" authorId="0">
      <text>
        <r>
          <rPr>
            <sz val="9"/>
            <color indexed="81"/>
            <rFont val="宋体"/>
            <family val="3"/>
            <charset val="134"/>
          </rPr>
          <t>录入服务的人数</t>
        </r>
        <r>
          <rPr>
            <sz val="9"/>
            <color indexed="81"/>
            <rFont val="Tahoma"/>
            <family val="2"/>
          </rPr>
          <t xml:space="preserve">
</t>
        </r>
      </text>
    </comment>
    <comment ref="H70" authorId="0">
      <text>
        <r>
          <rPr>
            <sz val="9"/>
            <color indexed="81"/>
            <rFont val="宋体"/>
            <family val="3"/>
            <charset val="134"/>
          </rPr>
          <t>录入服务的人数</t>
        </r>
        <r>
          <rPr>
            <sz val="9"/>
            <color indexed="81"/>
            <rFont val="Tahoma"/>
            <family val="2"/>
          </rPr>
          <t xml:space="preserve">
</t>
        </r>
      </text>
    </comment>
    <comment ref="H71" authorId="0">
      <text>
        <r>
          <rPr>
            <sz val="9"/>
            <color indexed="81"/>
            <rFont val="宋体"/>
            <family val="3"/>
            <charset val="134"/>
          </rPr>
          <t>录入服务的人数</t>
        </r>
        <r>
          <rPr>
            <sz val="9"/>
            <color indexed="81"/>
            <rFont val="Tahoma"/>
            <family val="2"/>
          </rPr>
          <t xml:space="preserve">
</t>
        </r>
      </text>
    </comment>
    <comment ref="H72" authorId="0">
      <text>
        <r>
          <rPr>
            <sz val="9"/>
            <color indexed="81"/>
            <rFont val="宋体"/>
            <family val="3"/>
            <charset val="134"/>
          </rPr>
          <t>录入服务的人数</t>
        </r>
        <r>
          <rPr>
            <sz val="9"/>
            <color indexed="81"/>
            <rFont val="Tahoma"/>
            <family val="2"/>
          </rPr>
          <t xml:space="preserve">
</t>
        </r>
      </text>
    </comment>
    <comment ref="H73" authorId="0">
      <text>
        <r>
          <rPr>
            <sz val="9"/>
            <color indexed="81"/>
            <rFont val="宋体"/>
            <family val="3"/>
            <charset val="134"/>
          </rPr>
          <t>录入服务的人数</t>
        </r>
        <r>
          <rPr>
            <sz val="9"/>
            <color indexed="81"/>
            <rFont val="Tahoma"/>
            <family val="2"/>
          </rPr>
          <t xml:space="preserve">
</t>
        </r>
      </text>
    </comment>
    <comment ref="H74" authorId="0">
      <text>
        <r>
          <rPr>
            <sz val="9"/>
            <color indexed="81"/>
            <rFont val="宋体"/>
            <family val="3"/>
            <charset val="134"/>
          </rPr>
          <t>录入服务的人数</t>
        </r>
        <r>
          <rPr>
            <sz val="9"/>
            <color indexed="81"/>
            <rFont val="Tahoma"/>
            <family val="2"/>
          </rPr>
          <t xml:space="preserve">
</t>
        </r>
      </text>
    </comment>
    <comment ref="H75" authorId="0">
      <text>
        <r>
          <rPr>
            <sz val="9"/>
            <color indexed="81"/>
            <rFont val="宋体"/>
            <family val="3"/>
            <charset val="134"/>
          </rPr>
          <t>录入服务的人数</t>
        </r>
        <r>
          <rPr>
            <sz val="9"/>
            <color indexed="81"/>
            <rFont val="Tahoma"/>
            <family val="2"/>
          </rPr>
          <t xml:space="preserve">
</t>
        </r>
      </text>
    </comment>
    <comment ref="H76" authorId="0">
      <text>
        <r>
          <rPr>
            <sz val="9"/>
            <color indexed="81"/>
            <rFont val="宋体"/>
            <family val="3"/>
            <charset val="134"/>
          </rPr>
          <t>录入服务的人数</t>
        </r>
        <r>
          <rPr>
            <sz val="9"/>
            <color indexed="81"/>
            <rFont val="Tahoma"/>
            <family val="2"/>
          </rPr>
          <t xml:space="preserve">
</t>
        </r>
      </text>
    </comment>
    <comment ref="H77" authorId="0">
      <text>
        <r>
          <rPr>
            <sz val="9"/>
            <color indexed="81"/>
            <rFont val="宋体"/>
            <family val="3"/>
            <charset val="134"/>
          </rPr>
          <t>录入服务的人数</t>
        </r>
        <r>
          <rPr>
            <sz val="9"/>
            <color indexed="81"/>
            <rFont val="Tahoma"/>
            <family val="2"/>
          </rPr>
          <t xml:space="preserve">
</t>
        </r>
      </text>
    </comment>
    <comment ref="H78" authorId="0">
      <text>
        <r>
          <rPr>
            <sz val="9"/>
            <color indexed="81"/>
            <rFont val="宋体"/>
            <family val="3"/>
            <charset val="134"/>
          </rPr>
          <t>录入服务的人数</t>
        </r>
        <r>
          <rPr>
            <sz val="9"/>
            <color indexed="81"/>
            <rFont val="Tahoma"/>
            <family val="2"/>
          </rPr>
          <t xml:space="preserve">
</t>
        </r>
      </text>
    </comment>
    <comment ref="H79" authorId="0">
      <text>
        <r>
          <rPr>
            <sz val="9"/>
            <color indexed="81"/>
            <rFont val="宋体"/>
            <family val="3"/>
            <charset val="134"/>
          </rPr>
          <t>录入服务的人数</t>
        </r>
        <r>
          <rPr>
            <sz val="9"/>
            <color indexed="81"/>
            <rFont val="Tahoma"/>
            <family val="2"/>
          </rPr>
          <t xml:space="preserve">
</t>
        </r>
      </text>
    </comment>
    <comment ref="H80" authorId="0">
      <text>
        <r>
          <rPr>
            <sz val="9"/>
            <color indexed="81"/>
            <rFont val="宋体"/>
            <family val="3"/>
            <charset val="134"/>
          </rPr>
          <t>录入服务的人数</t>
        </r>
        <r>
          <rPr>
            <sz val="9"/>
            <color indexed="81"/>
            <rFont val="Tahoma"/>
            <family val="2"/>
          </rPr>
          <t xml:space="preserve">
</t>
        </r>
      </text>
    </comment>
    <comment ref="H81" authorId="0">
      <text>
        <r>
          <rPr>
            <sz val="9"/>
            <color indexed="81"/>
            <rFont val="宋体"/>
            <family val="3"/>
            <charset val="134"/>
          </rPr>
          <t>录入服务的人数</t>
        </r>
        <r>
          <rPr>
            <sz val="9"/>
            <color indexed="81"/>
            <rFont val="Tahoma"/>
            <family val="2"/>
          </rPr>
          <t xml:space="preserve">
</t>
        </r>
      </text>
    </comment>
    <comment ref="H82" authorId="0">
      <text>
        <r>
          <rPr>
            <sz val="9"/>
            <color indexed="81"/>
            <rFont val="宋体"/>
            <family val="3"/>
            <charset val="134"/>
          </rPr>
          <t>录入服务的人数</t>
        </r>
        <r>
          <rPr>
            <sz val="9"/>
            <color indexed="81"/>
            <rFont val="Tahoma"/>
            <family val="2"/>
          </rPr>
          <t xml:space="preserve">
</t>
        </r>
      </text>
    </comment>
    <comment ref="H83" authorId="0">
      <text>
        <r>
          <rPr>
            <sz val="9"/>
            <color indexed="81"/>
            <rFont val="宋体"/>
            <family val="3"/>
            <charset val="134"/>
          </rPr>
          <t>录入服务的人数</t>
        </r>
        <r>
          <rPr>
            <sz val="9"/>
            <color indexed="81"/>
            <rFont val="Tahoma"/>
            <family val="2"/>
          </rPr>
          <t xml:space="preserve">
</t>
        </r>
      </text>
    </comment>
    <comment ref="H84" authorId="0">
      <text>
        <r>
          <rPr>
            <sz val="9"/>
            <color indexed="81"/>
            <rFont val="宋体"/>
            <family val="3"/>
            <charset val="134"/>
          </rPr>
          <t>录入服务的人数</t>
        </r>
        <r>
          <rPr>
            <sz val="9"/>
            <color indexed="81"/>
            <rFont val="Tahoma"/>
            <family val="2"/>
          </rPr>
          <t xml:space="preserve">
</t>
        </r>
      </text>
    </comment>
    <comment ref="H85" authorId="0">
      <text>
        <r>
          <rPr>
            <sz val="9"/>
            <color indexed="81"/>
            <rFont val="宋体"/>
            <family val="3"/>
            <charset val="134"/>
          </rPr>
          <t>录入服务的人数</t>
        </r>
        <r>
          <rPr>
            <sz val="9"/>
            <color indexed="81"/>
            <rFont val="Tahoma"/>
            <family val="2"/>
          </rPr>
          <t xml:space="preserve">
</t>
        </r>
      </text>
    </comment>
    <comment ref="H86" authorId="0">
      <text>
        <r>
          <rPr>
            <sz val="9"/>
            <color indexed="81"/>
            <rFont val="宋体"/>
            <family val="3"/>
            <charset val="134"/>
          </rPr>
          <t>录入服务的人数</t>
        </r>
        <r>
          <rPr>
            <sz val="9"/>
            <color indexed="81"/>
            <rFont val="Tahoma"/>
            <family val="2"/>
          </rPr>
          <t xml:space="preserve">
</t>
        </r>
      </text>
    </comment>
    <comment ref="H87" authorId="0">
      <text>
        <r>
          <rPr>
            <sz val="9"/>
            <color indexed="81"/>
            <rFont val="宋体"/>
            <family val="3"/>
            <charset val="134"/>
          </rPr>
          <t>录入服务的人数</t>
        </r>
        <r>
          <rPr>
            <sz val="9"/>
            <color indexed="81"/>
            <rFont val="Tahoma"/>
            <family val="2"/>
          </rPr>
          <t xml:space="preserve">
</t>
        </r>
      </text>
    </comment>
    <comment ref="H88" authorId="0">
      <text>
        <r>
          <rPr>
            <sz val="9"/>
            <color indexed="81"/>
            <rFont val="宋体"/>
            <family val="3"/>
            <charset val="134"/>
          </rPr>
          <t>录入服务的人数</t>
        </r>
        <r>
          <rPr>
            <sz val="9"/>
            <color indexed="81"/>
            <rFont val="Tahoma"/>
            <family val="2"/>
          </rPr>
          <t xml:space="preserve">
</t>
        </r>
      </text>
    </comment>
    <comment ref="H89" authorId="0">
      <text>
        <r>
          <rPr>
            <sz val="9"/>
            <color indexed="81"/>
            <rFont val="宋体"/>
            <family val="3"/>
            <charset val="134"/>
          </rPr>
          <t>录入服务的人数</t>
        </r>
        <r>
          <rPr>
            <sz val="9"/>
            <color indexed="81"/>
            <rFont val="Tahoma"/>
            <family val="2"/>
          </rPr>
          <t xml:space="preserve">
</t>
        </r>
      </text>
    </comment>
    <comment ref="H90" authorId="0">
      <text>
        <r>
          <rPr>
            <sz val="9"/>
            <color indexed="81"/>
            <rFont val="宋体"/>
            <family val="3"/>
            <charset val="134"/>
          </rPr>
          <t>录入服务的人数</t>
        </r>
        <r>
          <rPr>
            <sz val="9"/>
            <color indexed="81"/>
            <rFont val="Tahoma"/>
            <family val="2"/>
          </rPr>
          <t xml:space="preserve">
</t>
        </r>
      </text>
    </comment>
    <comment ref="H91" authorId="0">
      <text>
        <r>
          <rPr>
            <sz val="9"/>
            <color indexed="81"/>
            <rFont val="宋体"/>
            <family val="3"/>
            <charset val="134"/>
          </rPr>
          <t>录入服务的人数</t>
        </r>
        <r>
          <rPr>
            <sz val="9"/>
            <color indexed="81"/>
            <rFont val="Tahoma"/>
            <family val="2"/>
          </rPr>
          <t xml:space="preserve">
</t>
        </r>
      </text>
    </comment>
    <comment ref="H92" authorId="0">
      <text>
        <r>
          <rPr>
            <sz val="9"/>
            <color indexed="81"/>
            <rFont val="宋体"/>
            <family val="3"/>
            <charset val="134"/>
          </rPr>
          <t>录入服务的人数</t>
        </r>
        <r>
          <rPr>
            <sz val="9"/>
            <color indexed="81"/>
            <rFont val="Tahoma"/>
            <family val="2"/>
          </rPr>
          <t xml:space="preserve">
</t>
        </r>
      </text>
    </comment>
    <comment ref="H93" authorId="0">
      <text>
        <r>
          <rPr>
            <sz val="9"/>
            <color indexed="81"/>
            <rFont val="宋体"/>
            <family val="3"/>
            <charset val="134"/>
          </rPr>
          <t>录入服务的人数</t>
        </r>
        <r>
          <rPr>
            <sz val="9"/>
            <color indexed="81"/>
            <rFont val="Tahoma"/>
            <family val="2"/>
          </rPr>
          <t xml:space="preserve">
</t>
        </r>
      </text>
    </comment>
    <comment ref="H94" authorId="0">
      <text>
        <r>
          <rPr>
            <sz val="9"/>
            <color indexed="81"/>
            <rFont val="宋体"/>
            <family val="3"/>
            <charset val="134"/>
          </rPr>
          <t>录入服务的人数</t>
        </r>
        <r>
          <rPr>
            <sz val="9"/>
            <color indexed="81"/>
            <rFont val="Tahoma"/>
            <family val="2"/>
          </rPr>
          <t xml:space="preserve">
</t>
        </r>
      </text>
    </comment>
    <comment ref="H95" authorId="0">
      <text>
        <r>
          <rPr>
            <sz val="9"/>
            <color indexed="81"/>
            <rFont val="宋体"/>
            <family val="3"/>
            <charset val="134"/>
          </rPr>
          <t>录入服务的人数</t>
        </r>
        <r>
          <rPr>
            <sz val="9"/>
            <color indexed="81"/>
            <rFont val="Tahoma"/>
            <family val="2"/>
          </rPr>
          <t xml:space="preserve">
</t>
        </r>
      </text>
    </comment>
    <comment ref="H96" authorId="0">
      <text>
        <r>
          <rPr>
            <sz val="9"/>
            <color indexed="81"/>
            <rFont val="宋体"/>
            <family val="3"/>
            <charset val="134"/>
          </rPr>
          <t>录入服务的人数</t>
        </r>
        <r>
          <rPr>
            <sz val="9"/>
            <color indexed="81"/>
            <rFont val="Tahoma"/>
            <family val="2"/>
          </rPr>
          <t xml:space="preserve">
</t>
        </r>
      </text>
    </comment>
    <comment ref="H97" authorId="0">
      <text>
        <r>
          <rPr>
            <sz val="9"/>
            <color indexed="81"/>
            <rFont val="宋体"/>
            <family val="3"/>
            <charset val="134"/>
          </rPr>
          <t>录入服务的人数</t>
        </r>
        <r>
          <rPr>
            <sz val="9"/>
            <color indexed="81"/>
            <rFont val="Tahoma"/>
            <family val="2"/>
          </rPr>
          <t xml:space="preserve">
</t>
        </r>
      </text>
    </comment>
    <comment ref="H98" authorId="0">
      <text>
        <r>
          <rPr>
            <sz val="9"/>
            <color indexed="81"/>
            <rFont val="宋体"/>
            <family val="3"/>
            <charset val="134"/>
          </rPr>
          <t>录入服务的人数</t>
        </r>
        <r>
          <rPr>
            <sz val="9"/>
            <color indexed="81"/>
            <rFont val="Tahoma"/>
            <family val="2"/>
          </rPr>
          <t xml:space="preserve">
</t>
        </r>
      </text>
    </comment>
    <comment ref="H99" authorId="0">
      <text>
        <r>
          <rPr>
            <sz val="9"/>
            <color indexed="81"/>
            <rFont val="宋体"/>
            <family val="3"/>
            <charset val="134"/>
          </rPr>
          <t>录入服务的人数</t>
        </r>
        <r>
          <rPr>
            <sz val="9"/>
            <color indexed="81"/>
            <rFont val="Tahoma"/>
            <family val="2"/>
          </rPr>
          <t xml:space="preserve">
</t>
        </r>
      </text>
    </comment>
    <comment ref="H100" authorId="0">
      <text>
        <r>
          <rPr>
            <sz val="9"/>
            <color indexed="81"/>
            <rFont val="宋体"/>
            <family val="3"/>
            <charset val="134"/>
          </rPr>
          <t>录入服务的人数</t>
        </r>
        <r>
          <rPr>
            <sz val="9"/>
            <color indexed="81"/>
            <rFont val="Tahoma"/>
            <family val="2"/>
          </rPr>
          <t xml:space="preserve">
</t>
        </r>
      </text>
    </comment>
    <comment ref="H101" authorId="0">
      <text>
        <r>
          <rPr>
            <sz val="9"/>
            <color indexed="81"/>
            <rFont val="宋体"/>
            <family val="3"/>
            <charset val="134"/>
          </rPr>
          <t>录入服务的人数</t>
        </r>
        <r>
          <rPr>
            <sz val="9"/>
            <color indexed="81"/>
            <rFont val="Tahoma"/>
            <family val="2"/>
          </rPr>
          <t xml:space="preserve">
</t>
        </r>
      </text>
    </comment>
    <comment ref="H102" authorId="0">
      <text>
        <r>
          <rPr>
            <sz val="9"/>
            <color indexed="81"/>
            <rFont val="宋体"/>
            <family val="3"/>
            <charset val="134"/>
          </rPr>
          <t>录入服务的人数</t>
        </r>
        <r>
          <rPr>
            <sz val="9"/>
            <color indexed="81"/>
            <rFont val="Tahoma"/>
            <family val="2"/>
          </rPr>
          <t xml:space="preserve">
</t>
        </r>
      </text>
    </comment>
    <comment ref="H103" authorId="0">
      <text>
        <r>
          <rPr>
            <sz val="9"/>
            <color indexed="81"/>
            <rFont val="宋体"/>
            <family val="3"/>
            <charset val="134"/>
          </rPr>
          <t>录入服务的人数</t>
        </r>
        <r>
          <rPr>
            <sz val="9"/>
            <color indexed="81"/>
            <rFont val="Tahoma"/>
            <family val="2"/>
          </rPr>
          <t xml:space="preserve">
</t>
        </r>
      </text>
    </comment>
    <comment ref="H104" authorId="0">
      <text>
        <r>
          <rPr>
            <sz val="9"/>
            <color indexed="81"/>
            <rFont val="宋体"/>
            <family val="3"/>
            <charset val="134"/>
          </rPr>
          <t>录入服务的人数</t>
        </r>
        <r>
          <rPr>
            <sz val="9"/>
            <color indexed="81"/>
            <rFont val="Tahoma"/>
            <family val="2"/>
          </rPr>
          <t xml:space="preserve">
</t>
        </r>
      </text>
    </comment>
    <comment ref="H105" authorId="0">
      <text>
        <r>
          <rPr>
            <sz val="9"/>
            <color indexed="81"/>
            <rFont val="宋体"/>
            <family val="3"/>
            <charset val="134"/>
          </rPr>
          <t>录入服务的人数</t>
        </r>
        <r>
          <rPr>
            <sz val="9"/>
            <color indexed="81"/>
            <rFont val="Tahoma"/>
            <family val="2"/>
          </rPr>
          <t xml:space="preserve">
</t>
        </r>
      </text>
    </comment>
    <comment ref="H106" authorId="0">
      <text>
        <r>
          <rPr>
            <sz val="9"/>
            <color indexed="81"/>
            <rFont val="宋体"/>
            <family val="3"/>
            <charset val="134"/>
          </rPr>
          <t>录入服务的人数</t>
        </r>
        <r>
          <rPr>
            <sz val="9"/>
            <color indexed="81"/>
            <rFont val="Tahoma"/>
            <family val="2"/>
          </rPr>
          <t xml:space="preserve">
</t>
        </r>
      </text>
    </comment>
    <comment ref="H107" authorId="0">
      <text>
        <r>
          <rPr>
            <sz val="9"/>
            <color indexed="81"/>
            <rFont val="宋体"/>
            <family val="3"/>
            <charset val="134"/>
          </rPr>
          <t>录入服务的人数</t>
        </r>
        <r>
          <rPr>
            <sz val="9"/>
            <color indexed="81"/>
            <rFont val="Tahoma"/>
            <family val="2"/>
          </rPr>
          <t xml:space="preserve">
</t>
        </r>
      </text>
    </comment>
    <comment ref="H108" authorId="0">
      <text>
        <r>
          <rPr>
            <sz val="9"/>
            <color indexed="81"/>
            <rFont val="宋体"/>
            <family val="3"/>
            <charset val="134"/>
          </rPr>
          <t>录入服务的人数</t>
        </r>
        <r>
          <rPr>
            <sz val="9"/>
            <color indexed="81"/>
            <rFont val="Tahoma"/>
            <family val="2"/>
          </rPr>
          <t xml:space="preserve">
</t>
        </r>
      </text>
    </comment>
    <comment ref="H109" authorId="0">
      <text>
        <r>
          <rPr>
            <sz val="9"/>
            <color indexed="81"/>
            <rFont val="宋体"/>
            <family val="3"/>
            <charset val="134"/>
          </rPr>
          <t>录入服务的人数</t>
        </r>
        <r>
          <rPr>
            <sz val="9"/>
            <color indexed="81"/>
            <rFont val="Tahoma"/>
            <family val="2"/>
          </rPr>
          <t xml:space="preserve">
</t>
        </r>
      </text>
    </comment>
    <comment ref="H110" authorId="0">
      <text>
        <r>
          <rPr>
            <sz val="9"/>
            <color indexed="81"/>
            <rFont val="宋体"/>
            <family val="3"/>
            <charset val="134"/>
          </rPr>
          <t>录入服务的人数</t>
        </r>
        <r>
          <rPr>
            <sz val="9"/>
            <color indexed="81"/>
            <rFont val="Tahoma"/>
            <family val="2"/>
          </rPr>
          <t xml:space="preserve">
</t>
        </r>
      </text>
    </comment>
    <comment ref="H111" authorId="0">
      <text>
        <r>
          <rPr>
            <sz val="9"/>
            <color indexed="81"/>
            <rFont val="宋体"/>
            <family val="3"/>
            <charset val="134"/>
          </rPr>
          <t>录入培训的天数</t>
        </r>
        <r>
          <rPr>
            <sz val="9"/>
            <color indexed="81"/>
            <rFont val="Tahoma"/>
            <family val="2"/>
          </rPr>
          <t xml:space="preserve">
</t>
        </r>
      </text>
    </comment>
    <comment ref="H112" authorId="0">
      <text>
        <r>
          <rPr>
            <b/>
            <sz val="9"/>
            <color indexed="81"/>
            <rFont val="宋体"/>
            <family val="3"/>
            <charset val="134"/>
          </rPr>
          <t>录入参加培训的人数*培训天数</t>
        </r>
        <r>
          <rPr>
            <sz val="9"/>
            <color indexed="81"/>
            <rFont val="Tahoma"/>
            <family val="2"/>
          </rPr>
          <t xml:space="preserve">
</t>
        </r>
      </text>
    </comment>
    <comment ref="H113" authorId="0">
      <text>
        <r>
          <rPr>
            <sz val="9"/>
            <color indexed="81"/>
            <rFont val="宋体"/>
            <family val="3"/>
            <charset val="134"/>
          </rPr>
          <t>录入培训的天数</t>
        </r>
        <r>
          <rPr>
            <sz val="9"/>
            <color indexed="81"/>
            <rFont val="Tahoma"/>
            <family val="2"/>
          </rPr>
          <t xml:space="preserve">
</t>
        </r>
      </text>
    </comment>
    <comment ref="H114" authorId="0">
      <text>
        <r>
          <rPr>
            <b/>
            <sz val="9"/>
            <color indexed="81"/>
            <rFont val="宋体"/>
            <family val="3"/>
            <charset val="134"/>
          </rPr>
          <t>录入参加培训的人数*培训天数</t>
        </r>
        <r>
          <rPr>
            <sz val="9"/>
            <color indexed="81"/>
            <rFont val="Tahoma"/>
            <family val="2"/>
          </rPr>
          <t xml:space="preserve">
</t>
        </r>
      </text>
    </comment>
  </commentList>
</comments>
</file>

<file path=xl/comments4.xml><?xml version="1.0" encoding="utf-8"?>
<comments xmlns="http://schemas.openxmlformats.org/spreadsheetml/2006/main">
  <authors>
    <author>作者</author>
  </authors>
  <commentList>
    <comment ref="C75" authorId="0">
      <text>
        <r>
          <rPr>
            <b/>
            <sz val="9"/>
            <color indexed="81"/>
            <rFont val="宋体"/>
            <family val="3"/>
            <charset val="134"/>
          </rPr>
          <t>作者:</t>
        </r>
        <r>
          <rPr>
            <sz val="9"/>
            <color indexed="81"/>
            <rFont val="宋体"/>
            <family val="3"/>
            <charset val="134"/>
          </rPr>
          <t xml:space="preserve">
如客户要求利用合同条款进行约束，需谨慎评估。</t>
        </r>
      </text>
    </comment>
    <comment ref="D239" authorId="0">
      <text>
        <r>
          <rPr>
            <b/>
            <sz val="9"/>
            <color indexed="81"/>
            <rFont val="宋体"/>
            <family val="3"/>
            <charset val="134"/>
          </rPr>
          <t>作者:</t>
        </r>
        <r>
          <rPr>
            <sz val="9"/>
            <color indexed="81"/>
            <rFont val="宋体"/>
            <family val="3"/>
            <charset val="134"/>
          </rPr>
          <t xml:space="preserve">
此比例根据项目周期确定项目经理的人天投入，比例在10-20%；500万以上项目，项目经理专职化，根据项目周期按年200人天计算，确定项目经理投入的人天数标准约为10%。500万到100万之间为15%左右，100万以下的20%。具体标准视项目情况单独评估比例。</t>
        </r>
      </text>
    </comment>
  </commentList>
</comments>
</file>

<file path=xl/sharedStrings.xml><?xml version="1.0" encoding="utf-8"?>
<sst xmlns="http://schemas.openxmlformats.org/spreadsheetml/2006/main" count="3037" uniqueCount="1618">
  <si>
    <t>NCV6.5产品报价-并发报价</t>
    <phoneticPr fontId="6" type="noConversion"/>
  </si>
  <si>
    <t>产品领域</t>
    <phoneticPr fontId="6" type="noConversion"/>
  </si>
  <si>
    <t>模块名称</t>
    <phoneticPr fontId="6" type="noConversion"/>
  </si>
  <si>
    <t>模块价</t>
    <phoneticPr fontId="5" type="noConversion"/>
  </si>
  <si>
    <t>选择与否</t>
    <phoneticPr fontId="6" type="noConversion"/>
  </si>
  <si>
    <t>范围</t>
    <phoneticPr fontId="5" type="noConversion"/>
  </si>
  <si>
    <t>许可价</t>
    <phoneticPr fontId="5" type="noConversion"/>
  </si>
  <si>
    <t>许可数</t>
    <phoneticPr fontId="6" type="noConversion"/>
  </si>
  <si>
    <t>价格</t>
    <phoneticPr fontId="6" type="noConversion"/>
  </si>
  <si>
    <t>最低许可数</t>
    <phoneticPr fontId="5" type="noConversion"/>
  </si>
  <si>
    <t>计价类型</t>
    <phoneticPr fontId="5" type="noConversion"/>
  </si>
  <si>
    <t>加密组</t>
    <phoneticPr fontId="6" type="noConversion"/>
  </si>
  <si>
    <t>许可数检验</t>
    <phoneticPr fontId="6" type="noConversion"/>
  </si>
  <si>
    <t>备注</t>
    <phoneticPr fontId="6" type="noConversion"/>
  </si>
  <si>
    <t>产品依赖关系</t>
    <phoneticPr fontId="6" type="noConversion"/>
  </si>
  <si>
    <t>动态建模平台</t>
    <phoneticPr fontId="6" type="noConversion"/>
  </si>
  <si>
    <t>-</t>
    <phoneticPr fontId="6" type="noConversion"/>
  </si>
  <si>
    <t>平台</t>
    <phoneticPr fontId="5" type="noConversion"/>
  </si>
  <si>
    <t>单独加密</t>
    <phoneticPr fontId="6" type="noConversion"/>
  </si>
  <si>
    <t>含运行平台、计划平台以及应用管理平台中的开发配置工具、实施工具、应用资产管理。</t>
    <phoneticPr fontId="5" type="noConversion"/>
  </si>
  <si>
    <t>报表平台</t>
    <phoneticPr fontId="6" type="noConversion"/>
  </si>
  <si>
    <t>自定义报表数量</t>
    <phoneticPr fontId="5" type="noConversion"/>
  </si>
  <si>
    <t>单独加密</t>
  </si>
  <si>
    <r>
      <t>1、每个许可包含100张自定义报表数量；
2、在“许可数”栏目中填写的数量是指2个以上的自定义报表数量单位，比如：需要购买400张自定义报表，在“许可数”栏目中填写4即可；
3</t>
    </r>
    <r>
      <rPr>
        <sz val="10"/>
        <color rgb="FFFF0000"/>
        <rFont val="宋体"/>
        <family val="3"/>
        <charset val="134"/>
      </rPr>
      <t>、报表平台是为自定义报表的实现提供了定制平台；自定义报表的具体实现，需由客户自行定制或者委托实施服务人员帮助定制。</t>
    </r>
    <phoneticPr fontId="6" type="noConversion"/>
  </si>
  <si>
    <t>应用管理平台</t>
    <phoneticPr fontId="5" type="noConversion"/>
  </si>
  <si>
    <t>NMC智能监控</t>
    <phoneticPr fontId="6" type="noConversion"/>
  </si>
  <si>
    <t>CPU数量</t>
    <phoneticPr fontId="5" type="noConversion"/>
  </si>
  <si>
    <t>1、模块价已包含4个CPU数量；
2、在“许可数”栏目中填写的数量是指4个以上的购买数量，比如：需要购买6个CPU数量，在“许可数”栏目中填写6即可。</t>
    <phoneticPr fontId="5" type="noConversion"/>
  </si>
  <si>
    <t>并发用户</t>
  </si>
  <si>
    <t>单独加密</t>
    <phoneticPr fontId="5" type="noConversion"/>
  </si>
  <si>
    <t>-</t>
    <phoneticPr fontId="5" type="noConversion"/>
  </si>
  <si>
    <t>应用集成平台</t>
    <phoneticPr fontId="6" type="noConversion"/>
  </si>
  <si>
    <t>分布系统管理</t>
    <phoneticPr fontId="6" type="noConversion"/>
  </si>
  <si>
    <t>特性</t>
    <phoneticPr fontId="5" type="noConversion"/>
  </si>
  <si>
    <t>1、只要安装了该模块且购买该特征，那么系统不控制在分布系统管理模块中创建服务器节点的数量；
2、对于多级集团需要使用该分布系统管理，只要用到分布管理的各级集团都需要购买该特征。</t>
    <phoneticPr fontId="5" type="noConversion"/>
  </si>
  <si>
    <t>ESB Express</t>
    <phoneticPr fontId="6" type="noConversion"/>
  </si>
  <si>
    <t>1、模块价中已包含有2个CPU数量；
2、在“许可数”栏目中填写的数量是指2个以上的购买数量，比如：需要购买4个CPU数量，在“许可数”栏目中填写4即可。</t>
  </si>
  <si>
    <t>门户集成</t>
    <phoneticPr fontId="5" type="noConversion"/>
  </si>
  <si>
    <t>1、模块价中已包含有2个CPU数量；
2、在“许可数”栏目中填写的数量是指2个以上的购买数量，比如：需要购买4个CPU数量，在“许可数”栏目中填写4即可。</t>
    <phoneticPr fontId="5" type="noConversion"/>
  </si>
  <si>
    <t>WEB应用平台</t>
    <phoneticPr fontId="6" type="noConversion"/>
  </si>
  <si>
    <t>自定义表单数量</t>
    <phoneticPr fontId="5" type="noConversion"/>
  </si>
  <si>
    <t>1、每个许可包含50个自定义表单数量；
2、模块价中已包含2个许可，即100个自定义表单；
3、在“许可数”栏目中填写的数量是指2个以上的自义表单数量单位，比如：需要购买200个自定义表单，在“许可数”栏目中填写4即可；
4、自由表单是为自定义表单的实现提供了定制平台；自定义表单的具体实现，需由客户自行定制或者委托实施服务人员帮助定制。</t>
    <phoneticPr fontId="6" type="noConversion"/>
  </si>
  <si>
    <t>如购买企业协同管理任意产品，需要购买自由表单模块。</t>
    <phoneticPr fontId="6" type="noConversion"/>
  </si>
  <si>
    <t>WEB电子签章</t>
    <phoneticPr fontId="6" type="noConversion"/>
  </si>
  <si>
    <t xml:space="preserve"> -</t>
    <phoneticPr fontId="6" type="noConversion"/>
  </si>
  <si>
    <t>XBRL应用平台</t>
    <phoneticPr fontId="5" type="noConversion"/>
  </si>
  <si>
    <t>XBRL工具</t>
    <phoneticPr fontId="6" type="noConversion"/>
  </si>
  <si>
    <t xml:space="preserve">模块价中已包含2个许可
</t>
    <phoneticPr fontId="6" type="noConversion"/>
  </si>
  <si>
    <t>全面预算</t>
    <phoneticPr fontId="6" type="noConversion"/>
  </si>
  <si>
    <t>企业报表</t>
    <phoneticPr fontId="5" type="noConversion"/>
  </si>
  <si>
    <t>合并报表</t>
    <phoneticPr fontId="5" type="noConversion"/>
  </si>
  <si>
    <t>合并账簿</t>
    <phoneticPr fontId="5" type="noConversion"/>
  </si>
  <si>
    <t>预算Excel端</t>
    <phoneticPr fontId="5" type="noConversion"/>
  </si>
  <si>
    <t>1、模块价格已经包含了4个用户数量；
2、在“许可数”栏目中填写的数量是指4个以上的购买数量，比如：需要购买5个用户数量，在“许可数”栏目中填写5即可。</t>
    <phoneticPr fontId="5" type="noConversion"/>
  </si>
  <si>
    <t>NC-XBRL</t>
    <phoneticPr fontId="5" type="noConversion"/>
  </si>
  <si>
    <t>并发用户</t>
    <phoneticPr fontId="5" type="noConversion"/>
  </si>
  <si>
    <t xml:space="preserve">模块已包含5个许可。
</t>
    <phoneticPr fontId="5" type="noConversion"/>
  </si>
  <si>
    <t>数据方案</t>
    <phoneticPr fontId="5" type="noConversion"/>
  </si>
  <si>
    <t>NC5X财务数据方案</t>
    <phoneticPr fontId="5" type="noConversion"/>
  </si>
  <si>
    <t>总账</t>
    <phoneticPr fontId="6" type="noConversion"/>
  </si>
  <si>
    <t>应收管理</t>
    <phoneticPr fontId="6" type="noConversion"/>
  </si>
  <si>
    <t>应付管理</t>
    <phoneticPr fontId="6" type="noConversion"/>
  </si>
  <si>
    <t>固定资产</t>
  </si>
  <si>
    <t>存货核算</t>
    <phoneticPr fontId="6" type="noConversion"/>
  </si>
  <si>
    <t>费用管理</t>
    <phoneticPr fontId="6" type="noConversion"/>
  </si>
  <si>
    <t>欧盟VAT报表</t>
    <phoneticPr fontId="6" type="noConversion"/>
  </si>
  <si>
    <t>费用预算</t>
    <phoneticPr fontId="6" type="noConversion"/>
  </si>
  <si>
    <t xml:space="preserve">费用预算与全面预算的区别在于：
1、费用预算限制预算套表数量最多为10个，套表内的sheet页数量未做特殊限制；
2、费用预算只提供与总账、应收应付、财务报销和现金管理模块的控制和取数接口。
</t>
    <phoneticPr fontId="5" type="noConversion"/>
  </si>
  <si>
    <t>总账多账簿</t>
    <phoneticPr fontId="6" type="noConversion"/>
  </si>
  <si>
    <t>启用财务组织数量</t>
    <phoneticPr fontId="5" type="noConversion"/>
  </si>
  <si>
    <t xml:space="preserve">1、如选购总账多账簿产品含10个启用的财务组织；
2、每10个启用的财务组织计算为1个许可数，价格为3万。
</t>
    <phoneticPr fontId="6" type="noConversion"/>
  </si>
  <si>
    <t>如选购总账多账簿模块，必须依赖于总账模块。</t>
    <phoneticPr fontId="5" type="noConversion"/>
  </si>
  <si>
    <t>固定资产多账簿</t>
    <phoneticPr fontId="6" type="noConversion"/>
  </si>
  <si>
    <t xml:space="preserve">1、如选购固定资产多账簿产品含10个启用的财务组织；
2、每10个启用的财务组织计算为1个许可数，价格为3万。
</t>
    <phoneticPr fontId="6" type="noConversion"/>
  </si>
  <si>
    <t>如选购固定资产多账簿模块，必须依赖于固定资产模块。</t>
    <phoneticPr fontId="5" type="noConversion"/>
  </si>
  <si>
    <t>固定资产按日计提折旧</t>
    <phoneticPr fontId="5" type="noConversion"/>
  </si>
  <si>
    <t xml:space="preserve">1、如选购固定资产按日计提折旧产品含10个启用的财务组织；
2、每10个启用的财务组织计算为1个许可数，价格为3万。
</t>
    <phoneticPr fontId="6" type="noConversion"/>
  </si>
  <si>
    <t>如选购固定资产按日计提折旧，必须依赖于固定资产模块。</t>
    <phoneticPr fontId="5" type="noConversion"/>
  </si>
  <si>
    <t>资金管理</t>
    <phoneticPr fontId="6" type="noConversion"/>
  </si>
  <si>
    <t>账户管理</t>
    <phoneticPr fontId="5" type="noConversion"/>
  </si>
  <si>
    <t xml:space="preserve">
</t>
    <phoneticPr fontId="6" type="noConversion"/>
  </si>
  <si>
    <t>现金管理</t>
    <phoneticPr fontId="5" type="noConversion"/>
  </si>
  <si>
    <t>银企直联</t>
    <phoneticPr fontId="6" type="noConversion"/>
  </si>
  <si>
    <t>付款排程</t>
    <phoneticPr fontId="5" type="noConversion"/>
  </si>
  <si>
    <t>商业汇票</t>
    <phoneticPr fontId="6" type="noConversion"/>
  </si>
  <si>
    <t>资金结算</t>
    <phoneticPr fontId="6" type="noConversion"/>
  </si>
  <si>
    <t>资金调度</t>
    <phoneticPr fontId="5" type="noConversion"/>
  </si>
  <si>
    <t>资金计划</t>
    <phoneticPr fontId="6" type="noConversion"/>
  </si>
  <si>
    <t>信用证管理</t>
    <phoneticPr fontId="6" type="noConversion"/>
  </si>
  <si>
    <t>银行授信管理</t>
    <phoneticPr fontId="6" type="noConversion"/>
  </si>
  <si>
    <t>结算中心数量</t>
    <phoneticPr fontId="5" type="noConversion"/>
  </si>
  <si>
    <t>如选购多结算中心模块，必须依赖资金结算。</t>
    <phoneticPr fontId="5" type="noConversion"/>
  </si>
  <si>
    <t>电子签章</t>
    <phoneticPr fontId="6" type="noConversion"/>
  </si>
  <si>
    <t>如选购电子签章模块，必须依赖资金结算。</t>
    <phoneticPr fontId="5" type="noConversion"/>
  </si>
  <si>
    <t>供应链</t>
    <phoneticPr fontId="6" type="noConversion"/>
  </si>
  <si>
    <t>合同管理</t>
    <phoneticPr fontId="6" type="noConversion"/>
  </si>
  <si>
    <t>采购计划</t>
    <phoneticPr fontId="6" type="noConversion"/>
  </si>
  <si>
    <t>采购管理</t>
  </si>
  <si>
    <t>采购价格</t>
    <phoneticPr fontId="5" type="noConversion"/>
  </si>
  <si>
    <t>委外加工</t>
    <phoneticPr fontId="5" type="noConversion"/>
  </si>
  <si>
    <t>库存计划</t>
    <phoneticPr fontId="5" type="noConversion"/>
  </si>
  <si>
    <t>库存管理</t>
  </si>
  <si>
    <t>序列号管理</t>
    <phoneticPr fontId="5" type="noConversion"/>
  </si>
  <si>
    <t>销售管理</t>
    <phoneticPr fontId="6" type="noConversion"/>
  </si>
  <si>
    <t>销售价格</t>
    <phoneticPr fontId="5" type="noConversion"/>
  </si>
  <si>
    <t>销售信用</t>
    <phoneticPr fontId="5" type="noConversion"/>
  </si>
  <si>
    <t>内部交易</t>
    <phoneticPr fontId="6" type="noConversion"/>
  </si>
  <si>
    <t>运输管理</t>
    <phoneticPr fontId="6" type="noConversion"/>
  </si>
  <si>
    <t>销售返利</t>
    <phoneticPr fontId="6" type="noConversion"/>
  </si>
  <si>
    <t>营销费用管理</t>
    <phoneticPr fontId="6" type="noConversion"/>
  </si>
  <si>
    <t>并发用户</t>
    <phoneticPr fontId="6" type="noConversion"/>
  </si>
  <si>
    <t>质量管理</t>
    <phoneticPr fontId="6" type="noConversion"/>
  </si>
  <si>
    <t>渠道数据采集</t>
    <phoneticPr fontId="18" type="noConversion"/>
  </si>
  <si>
    <t>如选购渠道数据采集模块，必须依赖于渠道管理公共模块。</t>
    <phoneticPr fontId="6" type="noConversion"/>
  </si>
  <si>
    <t>渠道补货协同</t>
    <phoneticPr fontId="18" type="noConversion"/>
  </si>
  <si>
    <t>状态管理</t>
    <phoneticPr fontId="18" type="noConversion"/>
  </si>
  <si>
    <t>涉及到供应商进行协同的业务，需另购供应商门户产品。</t>
    <phoneticPr fontId="5" type="noConversion"/>
  </si>
  <si>
    <t>评估管理</t>
    <phoneticPr fontId="18" type="noConversion"/>
  </si>
  <si>
    <t>电子商务</t>
    <phoneticPr fontId="5" type="noConversion"/>
  </si>
  <si>
    <t>50-500人</t>
    <phoneticPr fontId="6" type="noConversion"/>
  </si>
  <si>
    <t xml:space="preserve">许可数是指有效的供应商用户数。
</t>
    <phoneticPr fontId="6" type="noConversion"/>
  </si>
  <si>
    <t>如选购，必须依赖电子采购基础设置模块。</t>
    <phoneticPr fontId="6" type="noConversion"/>
  </si>
  <si>
    <t>501-2000人</t>
    <phoneticPr fontId="6" type="noConversion"/>
  </si>
  <si>
    <t>2001-5000人</t>
    <phoneticPr fontId="6" type="noConversion"/>
  </si>
  <si>
    <t>5001-10000人</t>
    <phoneticPr fontId="6" type="noConversion"/>
  </si>
  <si>
    <t>采购排程</t>
    <phoneticPr fontId="18" type="noConversion"/>
  </si>
  <si>
    <t>采购寻源-标准招投标</t>
    <phoneticPr fontId="18" type="noConversion"/>
  </si>
  <si>
    <t>总价加成</t>
    <phoneticPr fontId="5" type="noConversion"/>
  </si>
  <si>
    <t>采购寻源-竞价招投标</t>
    <phoneticPr fontId="18" type="noConversion"/>
  </si>
  <si>
    <t xml:space="preserve">购买电子销售要同时购买订单处理中心；订单处理中心可以单独购买。
</t>
    <phoneticPr fontId="6" type="noConversion"/>
  </si>
  <si>
    <t>依赖B2B订单中心，电子销售基础档案。</t>
    <phoneticPr fontId="5" type="noConversion"/>
  </si>
  <si>
    <t>客户要货计划</t>
    <phoneticPr fontId="5" type="noConversion"/>
  </si>
  <si>
    <t>依赖电子销售基础档案。</t>
    <phoneticPr fontId="5" type="noConversion"/>
  </si>
  <si>
    <t>经销商门户</t>
    <phoneticPr fontId="18" type="noConversion"/>
  </si>
  <si>
    <t>50-200人</t>
    <phoneticPr fontId="6" type="noConversion"/>
  </si>
  <si>
    <t xml:space="preserve">许可数是指有效的经销商用户数。
</t>
    <phoneticPr fontId="6" type="noConversion"/>
  </si>
  <si>
    <t>如选购经销商门户模块，必须依赖于电子销售、B2B订单中心模块。</t>
    <phoneticPr fontId="5" type="noConversion"/>
  </si>
  <si>
    <t>201-500人</t>
    <phoneticPr fontId="6" type="noConversion"/>
  </si>
  <si>
    <t>公开门户</t>
    <phoneticPr fontId="5" type="noConversion"/>
  </si>
  <si>
    <t>特性</t>
    <phoneticPr fontId="6" type="noConversion"/>
  </si>
  <si>
    <t>客户在线支付</t>
    <phoneticPr fontId="18" type="noConversion"/>
  </si>
  <si>
    <t>进出口</t>
    <phoneticPr fontId="5" type="noConversion"/>
  </si>
  <si>
    <t>自营进口</t>
    <phoneticPr fontId="5" type="noConversion"/>
  </si>
  <si>
    <t>自营出口</t>
    <phoneticPr fontId="5" type="noConversion"/>
  </si>
  <si>
    <t>转口贸易</t>
    <phoneticPr fontId="5" type="noConversion"/>
  </si>
  <si>
    <t>代理进口</t>
    <phoneticPr fontId="5" type="noConversion"/>
  </si>
  <si>
    <t>代理出口</t>
    <phoneticPr fontId="5" type="noConversion"/>
  </si>
  <si>
    <t>贸易费用</t>
    <phoneticPr fontId="6" type="noConversion"/>
  </si>
  <si>
    <t>生产制造</t>
    <phoneticPr fontId="5" type="noConversion"/>
  </si>
  <si>
    <t>销售运营计划</t>
    <phoneticPr fontId="6" type="noConversion"/>
  </si>
  <si>
    <t xml:space="preserve">
</t>
    <phoneticPr fontId="5" type="noConversion"/>
  </si>
  <si>
    <t>需求计划</t>
    <phoneticPr fontId="6" type="noConversion"/>
  </si>
  <si>
    <t>主生产计划</t>
    <phoneticPr fontId="6" type="noConversion"/>
  </si>
  <si>
    <t>物料需求计划</t>
    <phoneticPr fontId="6" type="noConversion"/>
  </si>
  <si>
    <t>排产管理</t>
    <phoneticPr fontId="6" type="noConversion"/>
  </si>
  <si>
    <r>
      <t>流程生产任务管理</t>
    </r>
    <r>
      <rPr>
        <sz val="12"/>
        <color theme="1"/>
        <rFont val="宋体"/>
        <family val="3"/>
        <charset val="134"/>
      </rPr>
      <t xml:space="preserve">   </t>
    </r>
    <phoneticPr fontId="6" type="noConversion"/>
  </si>
  <si>
    <r>
      <t>离散生产任务管理</t>
    </r>
    <r>
      <rPr>
        <sz val="12"/>
        <color theme="1"/>
        <rFont val="宋体"/>
        <family val="3"/>
        <charset val="134"/>
      </rPr>
      <t xml:space="preserve">   </t>
    </r>
    <phoneticPr fontId="6" type="noConversion"/>
  </si>
  <si>
    <t>车间管理</t>
    <phoneticPr fontId="6" type="noConversion"/>
  </si>
  <si>
    <t>工序委外</t>
    <phoneticPr fontId="5" type="noConversion"/>
  </si>
  <si>
    <t>工程变更</t>
    <phoneticPr fontId="5" type="noConversion"/>
  </si>
  <si>
    <t>资产管理</t>
    <phoneticPr fontId="6" type="noConversion"/>
  </si>
  <si>
    <t>资产信息管理</t>
    <phoneticPr fontId="6" type="noConversion"/>
  </si>
  <si>
    <t>资产使用管理</t>
    <phoneticPr fontId="6" type="noConversion"/>
  </si>
  <si>
    <t>资产租出管理</t>
    <phoneticPr fontId="6" type="noConversion"/>
  </si>
  <si>
    <t>资产租入管理</t>
    <phoneticPr fontId="6" type="noConversion"/>
  </si>
  <si>
    <t>运行管理</t>
    <phoneticPr fontId="5" type="noConversion"/>
  </si>
  <si>
    <t>维护管理</t>
    <phoneticPr fontId="6" type="noConversion"/>
  </si>
  <si>
    <t>维修管理</t>
    <phoneticPr fontId="5" type="noConversion"/>
  </si>
  <si>
    <t>易耗品管理</t>
    <phoneticPr fontId="5" type="noConversion"/>
  </si>
  <si>
    <t>周转材租出管理</t>
    <phoneticPr fontId="5" type="noConversion"/>
  </si>
  <si>
    <t>周转材租入管理</t>
    <phoneticPr fontId="5" type="noConversion"/>
  </si>
  <si>
    <t>人力资本</t>
    <phoneticPr fontId="5" type="noConversion"/>
  </si>
  <si>
    <t>组织机构管理</t>
    <phoneticPr fontId="6" type="noConversion"/>
  </si>
  <si>
    <t>人员信息管理</t>
    <phoneticPr fontId="6" type="noConversion"/>
  </si>
  <si>
    <t>人员变动管理</t>
    <phoneticPr fontId="6" type="noConversion"/>
  </si>
  <si>
    <t>人员合同管理</t>
    <phoneticPr fontId="6" type="noConversion"/>
  </si>
  <si>
    <t>能力素质管理</t>
    <phoneticPr fontId="6" type="noConversion"/>
  </si>
  <si>
    <t>任职资格管理</t>
    <phoneticPr fontId="6" type="noConversion"/>
  </si>
  <si>
    <t>继任发展</t>
    <phoneticPr fontId="6" type="noConversion"/>
  </si>
  <si>
    <t>HR分析报表</t>
    <phoneticPr fontId="6" type="noConversion"/>
  </si>
  <si>
    <t>HR自助</t>
    <phoneticPr fontId="5" type="noConversion"/>
  </si>
  <si>
    <t>员工自助</t>
    <phoneticPr fontId="6" type="noConversion"/>
  </si>
  <si>
    <t>自助          并发用户</t>
    <phoneticPr fontId="5" type="noConversion"/>
  </si>
  <si>
    <t>如选购员工自助或经理自助模块，必须依赖于组织机构管理、人员信息管理、人员变动管理模块。</t>
    <phoneticPr fontId="5" type="noConversion"/>
  </si>
  <si>
    <t>经理自助</t>
    <phoneticPr fontId="6" type="noConversion"/>
  </si>
  <si>
    <t>网上报账</t>
    <phoneticPr fontId="6" type="noConversion"/>
  </si>
  <si>
    <t>自助        并发用户</t>
    <phoneticPr fontId="5" type="noConversion"/>
  </si>
  <si>
    <t>网上报账对应原网上报销模块，在本版产品显示名称仍然是网上报销，633EHP1中产品名称正式更改为网上报账。</t>
    <phoneticPr fontId="6" type="noConversion"/>
  </si>
  <si>
    <t>企业协同管理</t>
    <phoneticPr fontId="5" type="noConversion"/>
  </si>
  <si>
    <t>个人办公</t>
    <phoneticPr fontId="6" type="noConversion"/>
  </si>
  <si>
    <t>自助         并发用户</t>
    <phoneticPr fontId="5" type="noConversion"/>
  </si>
  <si>
    <t xml:space="preserve">
</t>
    <phoneticPr fontId="5" type="noConversion"/>
  </si>
  <si>
    <t>信息发布</t>
    <phoneticPr fontId="6" type="noConversion"/>
  </si>
  <si>
    <t>公文管理</t>
    <phoneticPr fontId="6" type="noConversion"/>
  </si>
  <si>
    <t>文档管理</t>
    <phoneticPr fontId="6" type="noConversion"/>
  </si>
  <si>
    <t>会议管理</t>
    <phoneticPr fontId="6" type="noConversion"/>
  </si>
  <si>
    <t>协同工作</t>
    <phoneticPr fontId="6" type="noConversion"/>
  </si>
  <si>
    <t>活动报名管理</t>
    <phoneticPr fontId="6" type="noConversion"/>
  </si>
  <si>
    <t>车辆管理</t>
    <phoneticPr fontId="6" type="noConversion"/>
  </si>
  <si>
    <t>办公用品管理</t>
    <phoneticPr fontId="6" type="noConversion"/>
  </si>
  <si>
    <t>合同文本管理</t>
    <phoneticPr fontId="6" type="noConversion"/>
  </si>
  <si>
    <t>RTX接口</t>
    <phoneticPr fontId="6" type="noConversion"/>
  </si>
  <si>
    <t>NC messager</t>
    <phoneticPr fontId="6" type="noConversion"/>
  </si>
  <si>
    <t>100-500人</t>
    <phoneticPr fontId="6" type="noConversion"/>
  </si>
  <si>
    <t>2001人及以上</t>
    <phoneticPr fontId="6" type="noConversion"/>
  </si>
  <si>
    <t>小计</t>
    <phoneticPr fontId="6" type="noConversion"/>
  </si>
  <si>
    <t>多集团</t>
    <phoneticPr fontId="6" type="noConversion"/>
  </si>
  <si>
    <t>在价格小计基础上上浮15%，不包含WAS的价格。</t>
    <phoneticPr fontId="6" type="noConversion"/>
  </si>
  <si>
    <t>多语种</t>
    <phoneticPr fontId="6" type="noConversion"/>
  </si>
  <si>
    <t>繁体中文</t>
    <phoneticPr fontId="6" type="noConversion"/>
  </si>
  <si>
    <t>在价格小计基础上上浮5%，不包含WAS的价格。</t>
    <phoneticPr fontId="6" type="noConversion"/>
  </si>
  <si>
    <t>英文</t>
    <phoneticPr fontId="6" type="noConversion"/>
  </si>
  <si>
    <t>在价格小计基础上上浮10%，不包含WAS的价格。</t>
    <phoneticPr fontId="6" type="noConversion"/>
  </si>
  <si>
    <t>Lincese
制作支持</t>
    <phoneticPr fontId="6" type="noConversion"/>
  </si>
  <si>
    <t>License
制作支持</t>
    <phoneticPr fontId="6" type="noConversion"/>
  </si>
  <si>
    <t>License套数</t>
    <phoneticPr fontId="5" type="noConversion"/>
  </si>
  <si>
    <t>1、许可数不得大于1；
2、许可数是指增加提供License的套数数量；
3、随产品默认免费提供一套License，如双机热备、灾备等原因需要增加提供License，每增加提供一套收费5万。</t>
    <phoneticPr fontId="6" type="noConversion"/>
  </si>
  <si>
    <t>中间件</t>
    <phoneticPr fontId="6" type="noConversion"/>
  </si>
  <si>
    <t xml:space="preserve"> WAS中间件</t>
    <phoneticPr fontId="6" type="noConversion"/>
  </si>
  <si>
    <t>并发用户&amp;自助并发用户</t>
    <phoneticPr fontId="5" type="noConversion"/>
  </si>
  <si>
    <t>总计</t>
    <phoneticPr fontId="5" type="noConversion"/>
  </si>
  <si>
    <t>报价说明:</t>
    <phoneticPr fontId="6" type="noConversion"/>
  </si>
  <si>
    <t>NCV6.5注册用户报价</t>
    <phoneticPr fontId="6" type="noConversion"/>
  </si>
  <si>
    <t>产品领域</t>
    <phoneticPr fontId="6" type="noConversion"/>
  </si>
  <si>
    <t>产品分组</t>
    <phoneticPr fontId="6" type="noConversion"/>
  </si>
  <si>
    <t>模块名称</t>
    <phoneticPr fontId="6" type="noConversion"/>
  </si>
  <si>
    <t>范围</t>
    <phoneticPr fontId="6" type="noConversion"/>
  </si>
  <si>
    <t>许可价</t>
    <phoneticPr fontId="6" type="noConversion"/>
  </si>
  <si>
    <t>许可数</t>
    <phoneticPr fontId="6" type="noConversion"/>
  </si>
  <si>
    <t>价格</t>
    <phoneticPr fontId="6" type="noConversion"/>
  </si>
  <si>
    <t>最低许可数</t>
    <phoneticPr fontId="18" type="noConversion"/>
  </si>
  <si>
    <t>计价类型</t>
    <phoneticPr fontId="6" type="noConversion"/>
  </si>
  <si>
    <t>加密组</t>
    <phoneticPr fontId="6" type="noConversion"/>
  </si>
  <si>
    <t>许可数检查</t>
    <phoneticPr fontId="6" type="noConversion"/>
  </si>
  <si>
    <t>产品依赖关系</t>
    <phoneticPr fontId="6" type="noConversion"/>
  </si>
  <si>
    <t>动态建模平台</t>
    <phoneticPr fontId="6" type="noConversion"/>
  </si>
  <si>
    <t>0-1000</t>
    <phoneticPr fontId="5" type="noConversion"/>
  </si>
  <si>
    <t>-</t>
    <phoneticPr fontId="18" type="noConversion"/>
  </si>
  <si>
    <t>-</t>
    <phoneticPr fontId="5" type="noConversion"/>
  </si>
  <si>
    <t>1001-3000</t>
    <phoneticPr fontId="5" type="noConversion"/>
  </si>
  <si>
    <t>3001-5000</t>
    <phoneticPr fontId="5" type="noConversion"/>
  </si>
  <si>
    <t>5001及以上</t>
    <phoneticPr fontId="5" type="noConversion"/>
  </si>
  <si>
    <t>报表平台</t>
    <phoneticPr fontId="6" type="noConversion"/>
  </si>
  <si>
    <t>单独加密</t>
    <phoneticPr fontId="5" type="noConversion"/>
  </si>
  <si>
    <t>应用管理平台</t>
    <phoneticPr fontId="6" type="noConversion"/>
  </si>
  <si>
    <t>NMC智能监控</t>
    <phoneticPr fontId="6" type="noConversion"/>
  </si>
  <si>
    <t>注册用户</t>
  </si>
  <si>
    <t>应用集成平台</t>
    <phoneticPr fontId="5" type="noConversion"/>
  </si>
  <si>
    <t>分布系统管理</t>
    <phoneticPr fontId="6" type="noConversion"/>
  </si>
  <si>
    <t>1、只要安装了该模块且购买该特征，那么系统不控制在分布系统管理模块中创建服务器节点的数量。
2、对于多级集团需要使用该分布系统管理，只要用到分布管理的各级集团都需要购买该特征。</t>
    <phoneticPr fontId="5" type="noConversion"/>
  </si>
  <si>
    <t>ESBExpress</t>
    <phoneticPr fontId="6" type="noConversion"/>
  </si>
  <si>
    <t>ESB Express</t>
    <phoneticPr fontId="6" type="noConversion"/>
  </si>
  <si>
    <t>门户集成</t>
    <phoneticPr fontId="6" type="noConversion"/>
  </si>
  <si>
    <t>WEB应用平台</t>
  </si>
  <si>
    <t>自由表单</t>
    <phoneticPr fontId="6" type="noConversion"/>
  </si>
  <si>
    <t>自由表单数量</t>
    <phoneticPr fontId="5" type="noConversion"/>
  </si>
  <si>
    <t>单独加密</t>
    <phoneticPr fontId="6" type="noConversion"/>
  </si>
  <si>
    <t>1、每个许可包含50个自定义表单数量；
2、自由表单是为自定义表单的实现提供了定制平台；自定义表单的具体实现，需由客户自行定制或者委托实施服务人员帮助定制。</t>
    <phoneticPr fontId="5" type="noConversion"/>
  </si>
  <si>
    <t>如购买企业协同管理任意产品，需要购买自由表单模块。</t>
    <phoneticPr fontId="18" type="noConversion"/>
  </si>
  <si>
    <t>WEB电子签章</t>
    <phoneticPr fontId="18" type="noConversion"/>
  </si>
  <si>
    <t>WEB电子签章</t>
    <phoneticPr fontId="6" type="noConversion"/>
  </si>
  <si>
    <t>只控制是否购买，不控制许可数量。</t>
    <phoneticPr fontId="18" type="noConversion"/>
  </si>
  <si>
    <t>XBRL</t>
    <phoneticPr fontId="5" type="noConversion"/>
  </si>
  <si>
    <t>XBRL应用平台</t>
    <phoneticPr fontId="6" type="noConversion"/>
  </si>
  <si>
    <t>XBRL工具</t>
    <phoneticPr fontId="5" type="noConversion"/>
  </si>
  <si>
    <t>本模块可以单独购买，不依赖动态建模平台。</t>
    <phoneticPr fontId="5" type="noConversion"/>
  </si>
  <si>
    <t>企业绩效管理</t>
    <phoneticPr fontId="6" type="noConversion"/>
  </si>
  <si>
    <t>全面预算</t>
    <phoneticPr fontId="6" type="noConversion"/>
  </si>
  <si>
    <t>预算Excel端</t>
    <phoneticPr fontId="6" type="noConversion"/>
  </si>
  <si>
    <t>集团合并</t>
    <phoneticPr fontId="6" type="noConversion"/>
  </si>
  <si>
    <t>合并报表</t>
    <phoneticPr fontId="5" type="noConversion"/>
  </si>
  <si>
    <t>合并账簿</t>
    <phoneticPr fontId="5" type="noConversion"/>
  </si>
  <si>
    <t>企业报表</t>
    <phoneticPr fontId="6" type="noConversion"/>
  </si>
  <si>
    <t>企业报表</t>
    <phoneticPr fontId="5" type="noConversion"/>
  </si>
  <si>
    <t>NC-XBRL</t>
    <phoneticPr fontId="5" type="noConversion"/>
  </si>
  <si>
    <t>如果选购NC-XBRL，必须依赖XBRL工具模块和企业报表模块。</t>
    <phoneticPr fontId="18" type="noConversion"/>
  </si>
  <si>
    <t>数据方案</t>
    <phoneticPr fontId="6" type="noConversion"/>
  </si>
  <si>
    <t>NC5X财务数据方案</t>
    <phoneticPr fontId="6" type="noConversion"/>
  </si>
  <si>
    <t>财务会计</t>
    <phoneticPr fontId="6" type="noConversion"/>
  </si>
  <si>
    <t>总账</t>
    <phoneticPr fontId="6" type="noConversion"/>
  </si>
  <si>
    <t>应收管理</t>
    <phoneticPr fontId="6" type="noConversion"/>
  </si>
  <si>
    <t>应付管理</t>
    <phoneticPr fontId="6" type="noConversion"/>
  </si>
  <si>
    <t>固定资产</t>
    <phoneticPr fontId="6" type="noConversion"/>
  </si>
  <si>
    <t>费用管理</t>
    <phoneticPr fontId="6" type="noConversion"/>
  </si>
  <si>
    <t>费用预算</t>
    <phoneticPr fontId="6" type="noConversion"/>
  </si>
  <si>
    <t xml:space="preserve">费用预算与全面预算的区别在于：
A、费用预算限制预算套表数量最多为10个，套表内的sheet页数量未做特殊限制；
B、费用预算只提供与总账、应收应付、财务报销和现金管理模块的控制和取数接口。
</t>
    <phoneticPr fontId="5" type="noConversion"/>
  </si>
  <si>
    <t>欧盟VAT报表</t>
    <phoneticPr fontId="6" type="noConversion"/>
  </si>
  <si>
    <t>总账多账簿</t>
    <phoneticPr fontId="6" type="noConversion"/>
  </si>
  <si>
    <t xml:space="preserve">1、启用的财务组织不得小于10个；0-10个许可总价为20万元；
2、超过前10许可后，每10个启用的财务组织计算为1个许可数，价格为3万；
</t>
    <phoneticPr fontId="6" type="noConversion"/>
  </si>
  <si>
    <t>如选购总账多账簿模块，必须依赖于财务会计。</t>
    <phoneticPr fontId="18" type="noConversion"/>
  </si>
  <si>
    <t>固定资产多账簿</t>
    <phoneticPr fontId="6" type="noConversion"/>
  </si>
  <si>
    <t>如选购固定资产多账簿模块，必须依赖于财务会计。</t>
    <phoneticPr fontId="18" type="noConversion"/>
  </si>
  <si>
    <t>固定资产按日计提折旧</t>
    <phoneticPr fontId="5" type="noConversion"/>
  </si>
  <si>
    <t>如选购固定资产按日计提折旧模块，必须依赖于财务会计。</t>
    <phoneticPr fontId="18" type="noConversion"/>
  </si>
  <si>
    <t>资金管理</t>
    <phoneticPr fontId="5" type="noConversion"/>
  </si>
  <si>
    <t>企业资金管理</t>
    <phoneticPr fontId="5" type="noConversion"/>
  </si>
  <si>
    <t>现金管理</t>
    <phoneticPr fontId="5" type="noConversion"/>
  </si>
  <si>
    <t>银企直联</t>
    <phoneticPr fontId="6" type="noConversion"/>
  </si>
  <si>
    <t>账户管理</t>
    <phoneticPr fontId="5" type="noConversion"/>
  </si>
  <si>
    <t>银行授信管理</t>
    <phoneticPr fontId="6" type="noConversion"/>
  </si>
  <si>
    <t>银行存款管理</t>
    <phoneticPr fontId="6" type="noConversion"/>
  </si>
  <si>
    <t>银行贷款管理</t>
    <phoneticPr fontId="6" type="noConversion"/>
  </si>
  <si>
    <t>担保管理</t>
    <phoneticPr fontId="6" type="noConversion"/>
  </si>
  <si>
    <t>保函管理</t>
    <phoneticPr fontId="5" type="noConversion"/>
  </si>
  <si>
    <t>商业汇票</t>
    <phoneticPr fontId="6" type="noConversion"/>
  </si>
  <si>
    <t>信用证管理</t>
    <phoneticPr fontId="6" type="noConversion"/>
  </si>
  <si>
    <t>资金计划</t>
    <phoneticPr fontId="6" type="noConversion"/>
  </si>
  <si>
    <t>付款排程</t>
    <phoneticPr fontId="6" type="noConversion"/>
  </si>
  <si>
    <t>注册用户</t>
    <phoneticPr fontId="5" type="noConversion"/>
  </si>
  <si>
    <t>资金调度</t>
    <phoneticPr fontId="5" type="noConversion"/>
  </si>
  <si>
    <t>成员单位数量</t>
    <phoneticPr fontId="5" type="noConversion"/>
  </si>
  <si>
    <t>内部存款管理</t>
    <phoneticPr fontId="6" type="noConversion"/>
  </si>
  <si>
    <t>结算中心</t>
    <phoneticPr fontId="6" type="noConversion"/>
  </si>
  <si>
    <t>资金结算</t>
    <phoneticPr fontId="6" type="noConversion"/>
  </si>
  <si>
    <t>内部贷款管理</t>
    <phoneticPr fontId="6" type="noConversion"/>
  </si>
  <si>
    <t>票据集中管理</t>
    <phoneticPr fontId="6" type="noConversion"/>
  </si>
  <si>
    <t>资金分析</t>
    <phoneticPr fontId="5" type="noConversion"/>
  </si>
  <si>
    <t>多结算中心</t>
    <phoneticPr fontId="6" type="noConversion"/>
  </si>
  <si>
    <t>依赖结算中心。</t>
    <phoneticPr fontId="18" type="noConversion"/>
  </si>
  <si>
    <t>电子签章</t>
    <phoneticPr fontId="6" type="noConversion"/>
  </si>
  <si>
    <t xml:space="preserve">只控制是否购买，不控制许可数量。
</t>
    <phoneticPr fontId="5" type="noConversion"/>
  </si>
  <si>
    <t>物料管理</t>
    <phoneticPr fontId="6" type="noConversion"/>
  </si>
  <si>
    <t>合同管理</t>
    <phoneticPr fontId="6" type="noConversion"/>
  </si>
  <si>
    <t>注册用户</t>
    <phoneticPr fontId="18" type="noConversion"/>
  </si>
  <si>
    <t>采购计划</t>
    <phoneticPr fontId="6" type="noConversion"/>
  </si>
  <si>
    <t>采购价格</t>
    <phoneticPr fontId="5" type="noConversion"/>
  </si>
  <si>
    <t>委外加工</t>
    <phoneticPr fontId="5" type="noConversion"/>
  </si>
  <si>
    <t>库存计划</t>
    <phoneticPr fontId="5" type="noConversion"/>
  </si>
  <si>
    <t>存货核算</t>
    <phoneticPr fontId="5" type="noConversion"/>
  </si>
  <si>
    <t>序列号管理</t>
    <phoneticPr fontId="5" type="noConversion"/>
  </si>
  <si>
    <t>质量管理</t>
    <phoneticPr fontId="6" type="noConversion"/>
  </si>
  <si>
    <t>状态管理</t>
    <phoneticPr fontId="18" type="noConversion"/>
  </si>
  <si>
    <t>单独加密</t>
    <phoneticPr fontId="18" type="noConversion"/>
  </si>
  <si>
    <t>涉及到供应商进行协同的业务，需另购供应商门户产品。</t>
    <phoneticPr fontId="18" type="noConversion"/>
  </si>
  <si>
    <t>评估管理</t>
    <phoneticPr fontId="18" type="noConversion"/>
  </si>
  <si>
    <t>电子采购</t>
    <phoneticPr fontId="6" type="noConversion"/>
  </si>
  <si>
    <t>供应商门户</t>
    <phoneticPr fontId="6" type="noConversion"/>
  </si>
  <si>
    <t>供应商门户</t>
    <phoneticPr fontId="5" type="noConversion"/>
  </si>
  <si>
    <t>50-500人</t>
    <phoneticPr fontId="5" type="noConversion"/>
  </si>
  <si>
    <t xml:space="preserve">1、许可是指有效的供应商用户数。
</t>
    <phoneticPr fontId="5" type="noConversion"/>
  </si>
  <si>
    <t>501-2000人</t>
    <phoneticPr fontId="5" type="noConversion"/>
  </si>
  <si>
    <t>2001-5000人</t>
    <phoneticPr fontId="5" type="noConversion"/>
  </si>
  <si>
    <t>5001-10000人</t>
    <phoneticPr fontId="5" type="noConversion"/>
  </si>
  <si>
    <t>采购排程</t>
    <phoneticPr fontId="5" type="noConversion"/>
  </si>
  <si>
    <t>1、可用寻源环节：发邀请公告、发布应答、采购决策。</t>
    <phoneticPr fontId="5" type="noConversion"/>
  </si>
  <si>
    <t>电子采购</t>
    <phoneticPr fontId="5" type="noConversion"/>
  </si>
  <si>
    <t>采购寻源-标准招投标</t>
    <phoneticPr fontId="5" type="noConversion"/>
  </si>
  <si>
    <t>采购寻源-竞价招投标</t>
    <phoneticPr fontId="5" type="noConversion"/>
  </si>
  <si>
    <t>销售分销</t>
    <phoneticPr fontId="6" type="noConversion"/>
  </si>
  <si>
    <t>销售分销</t>
    <phoneticPr fontId="18" type="noConversion"/>
  </si>
  <si>
    <t>销售管理</t>
    <phoneticPr fontId="6" type="noConversion"/>
  </si>
  <si>
    <t>销售信用</t>
    <phoneticPr fontId="5" type="noConversion"/>
  </si>
  <si>
    <t>内部交易</t>
    <phoneticPr fontId="5" type="noConversion"/>
  </si>
  <si>
    <t>运输管理</t>
    <phoneticPr fontId="6" type="noConversion"/>
  </si>
  <si>
    <t>销售价格</t>
    <phoneticPr fontId="6" type="noConversion"/>
  </si>
  <si>
    <t>销售返利</t>
    <phoneticPr fontId="5" type="noConversion"/>
  </si>
  <si>
    <t>营销费用管理</t>
    <phoneticPr fontId="18" type="noConversion"/>
  </si>
  <si>
    <t>渠道管理</t>
    <phoneticPr fontId="18" type="noConversion"/>
  </si>
  <si>
    <t>10人</t>
    <phoneticPr fontId="5" type="noConversion"/>
  </si>
  <si>
    <t>渠道数据采集</t>
    <phoneticPr fontId="18" type="noConversion"/>
  </si>
  <si>
    <t>11-100人</t>
    <phoneticPr fontId="5" type="noConversion"/>
  </si>
  <si>
    <t>渠道补货协同</t>
    <phoneticPr fontId="18" type="noConversion"/>
  </si>
  <si>
    <t>101-1000人</t>
    <phoneticPr fontId="5" type="noConversion"/>
  </si>
  <si>
    <t>1001人及以上</t>
    <phoneticPr fontId="5" type="noConversion"/>
  </si>
  <si>
    <t>2001人及以上</t>
    <phoneticPr fontId="5" type="noConversion"/>
  </si>
  <si>
    <t>电子销售</t>
    <phoneticPr fontId="6" type="noConversion"/>
  </si>
  <si>
    <t>电子销售</t>
  </si>
  <si>
    <t>依赖B2B订单中心，电子销售基础档案。</t>
    <phoneticPr fontId="18" type="noConversion"/>
  </si>
  <si>
    <t>B2B订单中心</t>
    <phoneticPr fontId="18" type="noConversion"/>
  </si>
  <si>
    <t>依赖电子销售基础档案。</t>
    <phoneticPr fontId="5" type="noConversion"/>
  </si>
  <si>
    <t>客户要货计划</t>
    <phoneticPr fontId="18" type="noConversion"/>
  </si>
  <si>
    <t>经销商门户</t>
    <phoneticPr fontId="6" type="noConversion"/>
  </si>
  <si>
    <t>50-200人</t>
    <phoneticPr fontId="5" type="noConversion"/>
  </si>
  <si>
    <t xml:space="preserve">1、许可是指有效的经销商用户数。                                      </t>
    <phoneticPr fontId="5" type="noConversion"/>
  </si>
  <si>
    <t>201-500人</t>
    <phoneticPr fontId="5" type="noConversion"/>
  </si>
  <si>
    <t>如选购，必须依赖经销商门户。</t>
    <phoneticPr fontId="6" type="noConversion"/>
  </si>
  <si>
    <t>客户在线支付</t>
    <phoneticPr fontId="18" type="noConversion"/>
  </si>
  <si>
    <t>进出口</t>
    <phoneticPr fontId="18" type="noConversion"/>
  </si>
  <si>
    <t>自营进口</t>
    <phoneticPr fontId="5" type="noConversion"/>
  </si>
  <si>
    <t>15-20人</t>
    <phoneticPr fontId="5" type="noConversion"/>
  </si>
  <si>
    <t>1、所有进出口产品依赖于供应链基础；
2、如选购进出口，必须依赖物料管理。</t>
    <phoneticPr fontId="18" type="noConversion"/>
  </si>
  <si>
    <t>代理进口</t>
    <phoneticPr fontId="5" type="noConversion"/>
  </si>
  <si>
    <t>21-50人</t>
    <phoneticPr fontId="5" type="noConversion"/>
  </si>
  <si>
    <t>转口贸易</t>
    <phoneticPr fontId="5" type="noConversion"/>
  </si>
  <si>
    <t>51-100人</t>
    <phoneticPr fontId="5" type="noConversion"/>
  </si>
  <si>
    <t>自营出口</t>
    <phoneticPr fontId="5" type="noConversion"/>
  </si>
  <si>
    <t>代理出口</t>
    <phoneticPr fontId="5" type="noConversion"/>
  </si>
  <si>
    <t>101人及以上</t>
    <phoneticPr fontId="5" type="noConversion"/>
  </si>
  <si>
    <t>贸易费用</t>
    <phoneticPr fontId="5" type="noConversion"/>
  </si>
  <si>
    <t>生产制造</t>
    <phoneticPr fontId="5" type="noConversion"/>
  </si>
  <si>
    <t>销售运营计划</t>
    <phoneticPr fontId="6" type="noConversion"/>
  </si>
  <si>
    <t>需求计划</t>
    <phoneticPr fontId="6" type="noConversion"/>
  </si>
  <si>
    <t>主生产计划</t>
    <phoneticPr fontId="6" type="noConversion"/>
  </si>
  <si>
    <t>物料需求计划</t>
    <phoneticPr fontId="6" type="noConversion"/>
  </si>
  <si>
    <t>排产管理</t>
    <phoneticPr fontId="6" type="noConversion"/>
  </si>
  <si>
    <t>流程生产任务管理</t>
    <phoneticPr fontId="6" type="noConversion"/>
  </si>
  <si>
    <t>离散生产任务管理</t>
    <phoneticPr fontId="6" type="noConversion"/>
  </si>
  <si>
    <t>车间管理</t>
    <phoneticPr fontId="6" type="noConversion"/>
  </si>
  <si>
    <t>工序委外</t>
    <phoneticPr fontId="18" type="noConversion"/>
  </si>
  <si>
    <t>工程变更</t>
    <phoneticPr fontId="18" type="noConversion"/>
  </si>
  <si>
    <t>资产管理</t>
    <phoneticPr fontId="6" type="noConversion"/>
  </si>
  <si>
    <t>集团资产管理</t>
    <phoneticPr fontId="6" type="noConversion"/>
  </si>
  <si>
    <t>资产信息管理</t>
    <phoneticPr fontId="5" type="noConversion"/>
  </si>
  <si>
    <t>资产使用管理</t>
    <phoneticPr fontId="6" type="noConversion"/>
  </si>
  <si>
    <t>易耗品管理</t>
    <phoneticPr fontId="5" type="noConversion"/>
  </si>
  <si>
    <t>资产租赁管理</t>
    <phoneticPr fontId="5" type="noConversion"/>
  </si>
  <si>
    <t>资产租出管理</t>
    <phoneticPr fontId="6" type="noConversion"/>
  </si>
  <si>
    <t xml:space="preserve">如选购必须依赖于集团资产管理。
</t>
    <phoneticPr fontId="18" type="noConversion"/>
  </si>
  <si>
    <t>资产租入管理</t>
    <phoneticPr fontId="6" type="noConversion"/>
  </si>
  <si>
    <t>周转材租出管理</t>
    <phoneticPr fontId="5" type="noConversion"/>
  </si>
  <si>
    <t>周转材租入管理</t>
    <phoneticPr fontId="5" type="noConversion"/>
  </si>
  <si>
    <t>资产维修维护</t>
    <phoneticPr fontId="6" type="noConversion"/>
  </si>
  <si>
    <t>运行管理</t>
    <phoneticPr fontId="5" type="noConversion"/>
  </si>
  <si>
    <t>如选购必须依赖于集团资产管理。</t>
    <phoneticPr fontId="18" type="noConversion"/>
  </si>
  <si>
    <t>维护管理</t>
    <phoneticPr fontId="6" type="noConversion"/>
  </si>
  <si>
    <t>维修管理</t>
    <phoneticPr fontId="5" type="noConversion"/>
  </si>
  <si>
    <t>人力资本</t>
    <phoneticPr fontId="6" type="noConversion"/>
  </si>
  <si>
    <t>核心人力资源管理</t>
    <phoneticPr fontId="6" type="noConversion"/>
  </si>
  <si>
    <t>组织机构管理</t>
    <phoneticPr fontId="6" type="noConversion"/>
  </si>
  <si>
    <t>人员信息管理</t>
    <phoneticPr fontId="6" type="noConversion"/>
  </si>
  <si>
    <t>人员变动管理</t>
    <phoneticPr fontId="6" type="noConversion"/>
  </si>
  <si>
    <t>人员合同管理</t>
    <phoneticPr fontId="6" type="noConversion"/>
  </si>
  <si>
    <t>HR分析报表</t>
    <phoneticPr fontId="6" type="noConversion"/>
  </si>
  <si>
    <t>必须依赖于核心人力资源管理。</t>
    <phoneticPr fontId="18" type="noConversion"/>
  </si>
  <si>
    <t xml:space="preserve">必须依赖于核心人力资源管理。 </t>
    <phoneticPr fontId="18" type="noConversion"/>
  </si>
  <si>
    <t xml:space="preserve">必须依赖于核心人力资源管理、HR自助。 </t>
    <phoneticPr fontId="18" type="noConversion"/>
  </si>
  <si>
    <t>人才发展</t>
    <phoneticPr fontId="6" type="noConversion"/>
  </si>
  <si>
    <t>能力素质管理</t>
    <phoneticPr fontId="6" type="noConversion"/>
  </si>
  <si>
    <t>如选购，必须依赖于核心人力资源管理、HR自助。</t>
    <phoneticPr fontId="18" type="noConversion"/>
  </si>
  <si>
    <t>任职资格管理</t>
    <phoneticPr fontId="5" type="noConversion"/>
  </si>
  <si>
    <t>继任发展</t>
    <phoneticPr fontId="18" type="noConversion"/>
  </si>
  <si>
    <t>HR自助</t>
    <phoneticPr fontId="6" type="noConversion"/>
  </si>
  <si>
    <t>员工自助</t>
    <phoneticPr fontId="6" type="noConversion"/>
  </si>
  <si>
    <t>100-5000人</t>
    <phoneticPr fontId="5" type="noConversion"/>
  </si>
  <si>
    <t>自助
注册用户</t>
    <phoneticPr fontId="5" type="noConversion"/>
  </si>
  <si>
    <t>如选购员工自助或经理自助模块，必须依赖于核心人力资源。</t>
    <phoneticPr fontId="18" type="noConversion"/>
  </si>
  <si>
    <t>经理自助</t>
    <phoneticPr fontId="6" type="noConversion"/>
  </si>
  <si>
    <t>5001-20000人</t>
    <phoneticPr fontId="5" type="noConversion"/>
  </si>
  <si>
    <t>20001人及以上</t>
    <phoneticPr fontId="5" type="noConversion"/>
  </si>
  <si>
    <t>网上报账</t>
    <phoneticPr fontId="6" type="noConversion"/>
  </si>
  <si>
    <t>网上报账对应原网上报销模块，在本版产品显示名称仍然是网上报销，633EHP1中产品名称正式更改为网上报账。</t>
    <phoneticPr fontId="5" type="noConversion"/>
  </si>
  <si>
    <t>5001-15000人</t>
    <phoneticPr fontId="5" type="noConversion"/>
  </si>
  <si>
    <t>15001人及以上</t>
    <phoneticPr fontId="5" type="noConversion"/>
  </si>
  <si>
    <t>企业协同管理</t>
    <phoneticPr fontId="6" type="noConversion"/>
  </si>
  <si>
    <t>基础包</t>
    <phoneticPr fontId="6" type="noConversion"/>
  </si>
  <si>
    <t>200-1500人</t>
    <phoneticPr fontId="5" type="noConversion"/>
  </si>
  <si>
    <t>自助
注册用户</t>
    <phoneticPr fontId="6" type="noConversion"/>
  </si>
  <si>
    <t>协同工作</t>
  </si>
  <si>
    <t>1501-5000人</t>
    <phoneticPr fontId="5" type="noConversion"/>
  </si>
  <si>
    <t>信息发布</t>
    <phoneticPr fontId="6" type="noConversion"/>
  </si>
  <si>
    <t>会议管理</t>
    <phoneticPr fontId="6" type="noConversion"/>
  </si>
  <si>
    <t>增强包</t>
    <phoneticPr fontId="6" type="noConversion"/>
  </si>
  <si>
    <t>文档管理</t>
    <phoneticPr fontId="5" type="noConversion"/>
  </si>
  <si>
    <t>活动报名管理</t>
    <phoneticPr fontId="6" type="noConversion"/>
  </si>
  <si>
    <t>车辆管理</t>
    <phoneticPr fontId="5" type="noConversion"/>
  </si>
  <si>
    <t>办公用品管理</t>
    <phoneticPr fontId="5" type="noConversion"/>
  </si>
  <si>
    <t>20001及以上</t>
    <phoneticPr fontId="5" type="noConversion"/>
  </si>
  <si>
    <t>公文管理</t>
    <phoneticPr fontId="5" type="noConversion"/>
  </si>
  <si>
    <t>公文管理</t>
  </si>
  <si>
    <t>50-1500人</t>
    <phoneticPr fontId="5" type="noConversion"/>
  </si>
  <si>
    <t>合同文本管理</t>
    <phoneticPr fontId="5" type="noConversion"/>
  </si>
  <si>
    <t>RTX接口</t>
  </si>
  <si>
    <t>RTX接口</t>
    <phoneticPr fontId="5" type="noConversion"/>
  </si>
  <si>
    <t>-</t>
    <phoneticPr fontId="6" type="noConversion"/>
  </si>
  <si>
    <t>NC messager</t>
  </si>
  <si>
    <t>NC messager</t>
    <phoneticPr fontId="18" type="noConversion"/>
  </si>
  <si>
    <t>100-500人</t>
    <phoneticPr fontId="5" type="noConversion"/>
  </si>
  <si>
    <t>并发用户</t>
    <phoneticPr fontId="18" type="noConversion"/>
  </si>
  <si>
    <t>小计</t>
    <phoneticPr fontId="5" type="noConversion"/>
  </si>
  <si>
    <t>小计</t>
    <phoneticPr fontId="18" type="noConversion"/>
  </si>
  <si>
    <t>多集团</t>
    <phoneticPr fontId="6" type="noConversion"/>
  </si>
  <si>
    <t>多集团</t>
    <phoneticPr fontId="5" type="noConversion"/>
  </si>
  <si>
    <t>-</t>
  </si>
  <si>
    <t>在价格小计基础上上浮15%，不包含WAS的价格。</t>
    <phoneticPr fontId="5" type="noConversion"/>
  </si>
  <si>
    <t>多语种</t>
    <phoneticPr fontId="6" type="noConversion"/>
  </si>
  <si>
    <t>繁体中文</t>
    <phoneticPr fontId="6" type="noConversion"/>
  </si>
  <si>
    <t>在价格小计基础上上浮5%，不包含WAS的价格。</t>
    <phoneticPr fontId="5" type="noConversion"/>
  </si>
  <si>
    <t>英文</t>
    <phoneticPr fontId="5" type="noConversion"/>
  </si>
  <si>
    <t>在价格小计基础上上浮10%，不包含WAS的价格。</t>
    <phoneticPr fontId="5" type="noConversion"/>
  </si>
  <si>
    <t>Lincese制作支持</t>
    <phoneticPr fontId="6" type="noConversion"/>
  </si>
  <si>
    <t>Lincese制作支持</t>
    <phoneticPr fontId="5" type="noConversion"/>
  </si>
  <si>
    <t>1、许可数不得大于1；
2、许可数是指增加提供License的套数数量；
3、随产品默认免费提供一套License，如双机热备、灾备等原因需要增加提供License，每增加提供一套收费5万。</t>
    <phoneticPr fontId="5" type="noConversion"/>
  </si>
  <si>
    <t>中间件</t>
    <phoneticPr fontId="6" type="noConversion"/>
  </si>
  <si>
    <t>WAS中间件</t>
    <phoneticPr fontId="6" type="noConversion"/>
  </si>
  <si>
    <t>注册用户&amp;自助注册用户</t>
    <phoneticPr fontId="5" type="noConversion"/>
  </si>
  <si>
    <t>合计</t>
    <phoneticPr fontId="5" type="noConversion"/>
  </si>
  <si>
    <t>总计</t>
    <phoneticPr fontId="18" type="noConversion"/>
  </si>
  <si>
    <t>报价说明:</t>
    <phoneticPr fontId="5" type="noConversion"/>
  </si>
  <si>
    <t>电子销售</t>
    <phoneticPr fontId="6" type="noConversion"/>
  </si>
  <si>
    <t>B2B订单中心</t>
    <phoneticPr fontId="18" type="noConversion"/>
  </si>
  <si>
    <t xml:space="preserve">1、如选购采购计划模块，必须依赖采购管理、库存管理模块；
2、如选购采购管理模块，必须依赖于库存管理模块；
3、如选购采购价格模块，必须依赖于采购管理、库存模块模块；
4、如选购委外加工模块，必须依赖于采购管理、库存模块；
5、如选购库存计划模块，必须依赖于库存管理模块；
6、如选购销售信用模块，必须依赖于销售管理模块、应收管理模块；
7、如选购内部交易模块，必须依赖于库存管理模块；
8、如选购销售返利模块，必须依赖销售管理模块；
</t>
    <phoneticPr fontId="5" type="noConversion"/>
  </si>
  <si>
    <t>-</t>
    <phoneticPr fontId="6" type="noConversion"/>
  </si>
  <si>
    <t>单独加密</t>
    <phoneticPr fontId="6" type="noConversion"/>
  </si>
  <si>
    <t>-</t>
    <phoneticPr fontId="5" type="noConversion"/>
  </si>
  <si>
    <t xml:space="preserve">本模块可以单独购买，不依赖动态建模平台。
</t>
    <phoneticPr fontId="5" type="noConversion"/>
  </si>
  <si>
    <t>自由表单</t>
    <phoneticPr fontId="5" type="noConversion"/>
  </si>
  <si>
    <t>产品分组</t>
    <phoneticPr fontId="5" type="noConversion"/>
  </si>
  <si>
    <t>门户集成</t>
    <phoneticPr fontId="5" type="noConversion"/>
  </si>
  <si>
    <t>预算Excel端</t>
    <phoneticPr fontId="5" type="noConversion"/>
  </si>
  <si>
    <t>企业绩效管理</t>
    <phoneticPr fontId="6" type="noConversion"/>
  </si>
  <si>
    <t>企业绩效管理</t>
    <phoneticPr fontId="5" type="noConversion"/>
  </si>
  <si>
    <r>
      <rPr>
        <b/>
        <sz val="11"/>
        <rFont val="宋体"/>
        <family val="3"/>
        <charset val="134"/>
      </rPr>
      <t>财务</t>
    </r>
    <r>
      <rPr>
        <b/>
        <sz val="10"/>
        <rFont val="宋体"/>
        <family val="3"/>
        <charset val="134"/>
      </rPr>
      <t>会计</t>
    </r>
    <phoneticPr fontId="6" type="noConversion"/>
  </si>
  <si>
    <t>财务会计</t>
    <phoneticPr fontId="5" type="noConversion"/>
  </si>
  <si>
    <t>资金管理</t>
    <phoneticPr fontId="5" type="noConversion"/>
  </si>
  <si>
    <t>资金分析</t>
    <phoneticPr fontId="5" type="noConversion"/>
  </si>
  <si>
    <t>多结算中心</t>
    <phoneticPr fontId="5" type="noConversion"/>
  </si>
  <si>
    <t>多结算中心</t>
    <phoneticPr fontId="5" type="noConversion"/>
  </si>
  <si>
    <t>电子签章</t>
    <phoneticPr fontId="5" type="noConversion"/>
  </si>
  <si>
    <t>供应链</t>
    <phoneticPr fontId="5" type="noConversion"/>
  </si>
  <si>
    <t>供应商门户</t>
    <phoneticPr fontId="18" type="noConversion"/>
  </si>
  <si>
    <t>供应商门户</t>
    <phoneticPr fontId="5" type="noConversion"/>
  </si>
  <si>
    <t>电子采购</t>
    <phoneticPr fontId="18" type="noConversion"/>
  </si>
  <si>
    <t>电子采购</t>
    <phoneticPr fontId="5" type="noConversion"/>
  </si>
  <si>
    <t>电子销售</t>
    <phoneticPr fontId="5" type="noConversion"/>
  </si>
  <si>
    <t>B2B订单中心</t>
    <phoneticPr fontId="18" type="noConversion"/>
  </si>
  <si>
    <t>B2B订单中心</t>
    <phoneticPr fontId="5" type="noConversion"/>
  </si>
  <si>
    <t>NC-XBRL</t>
    <phoneticPr fontId="5" type="noConversion"/>
  </si>
  <si>
    <t>数据方案</t>
    <phoneticPr fontId="5" type="noConversion"/>
  </si>
  <si>
    <t>NC5X财务数据方案</t>
    <phoneticPr fontId="5" type="noConversion"/>
  </si>
  <si>
    <t>总账多账簿</t>
    <phoneticPr fontId="6" type="noConversion"/>
  </si>
  <si>
    <t>固定资产多账簿</t>
    <phoneticPr fontId="6" type="noConversion"/>
  </si>
  <si>
    <t>质量管理</t>
    <phoneticPr fontId="6" type="noConversion"/>
  </si>
  <si>
    <t>渠道数据采集</t>
    <phoneticPr fontId="18" type="noConversion"/>
  </si>
  <si>
    <t>经销商门户</t>
    <phoneticPr fontId="18" type="noConversion"/>
  </si>
  <si>
    <t>进出口</t>
    <phoneticPr fontId="5" type="noConversion"/>
  </si>
  <si>
    <t>生产制造</t>
    <phoneticPr fontId="5" type="noConversion"/>
  </si>
  <si>
    <t>企业协同管理</t>
    <phoneticPr fontId="5" type="noConversion"/>
  </si>
  <si>
    <t>RTX接口</t>
    <phoneticPr fontId="6" type="noConversion"/>
  </si>
  <si>
    <t>单独加密</t>
    <phoneticPr fontId="5" type="noConversion"/>
  </si>
  <si>
    <t>管理会计</t>
    <phoneticPr fontId="6" type="noConversion"/>
  </si>
  <si>
    <t>利润中心</t>
    <phoneticPr fontId="6" type="noConversion"/>
  </si>
  <si>
    <t>利润中心会计</t>
    <phoneticPr fontId="6" type="noConversion"/>
  </si>
  <si>
    <t>购买项目成本时，建议购买项目管理和固定资产、财务会计；购买利润中心会计时，建议购买财务会计产品。</t>
    <phoneticPr fontId="18" type="noConversion"/>
  </si>
  <si>
    <t>利润中心交易</t>
    <phoneticPr fontId="6" type="noConversion"/>
  </si>
  <si>
    <t>利润中心存货</t>
    <phoneticPr fontId="5" type="noConversion"/>
  </si>
  <si>
    <t>标准成本</t>
    <phoneticPr fontId="5" type="noConversion"/>
  </si>
  <si>
    <t>购买产品成本，依赖标准成本</t>
    <phoneticPr fontId="6" type="noConversion"/>
  </si>
  <si>
    <t>产品成本</t>
  </si>
  <si>
    <t>利润中心</t>
    <phoneticPr fontId="5" type="noConversion"/>
  </si>
  <si>
    <t>产品成本</t>
    <phoneticPr fontId="5" type="noConversion"/>
  </si>
  <si>
    <t>并发用户</t>
    <phoneticPr fontId="5" type="noConversion"/>
  </si>
  <si>
    <t>选购利润中心交易模块、利润中心存货模块，必须依赖物料管理。</t>
    <phoneticPr fontId="5" type="noConversion"/>
  </si>
  <si>
    <t>利润中心交易</t>
    <phoneticPr fontId="5" type="noConversion"/>
  </si>
  <si>
    <t>-</t>
    <phoneticPr fontId="5" type="noConversion"/>
  </si>
  <si>
    <t>需要购买资金管理的现金管理、银企直联、商业汇票、银行授信管理、银行贷款管理、银行存款管理、担保管理、内部存款管理、内部贷款管理其中至少一个模块。如果需要修改预置的资金分析报表，需要购买报表平台的许可。</t>
    <phoneticPr fontId="5" type="noConversion"/>
  </si>
  <si>
    <t>项目成本</t>
    <phoneticPr fontId="5" type="noConversion"/>
  </si>
  <si>
    <t>-</t>
    <phoneticPr fontId="5" type="noConversion"/>
  </si>
  <si>
    <t>单独加密</t>
    <phoneticPr fontId="5" type="noConversion"/>
  </si>
  <si>
    <t>购买项目成本时，建议购买项目管理和固定资产、财务会计；</t>
    <phoneticPr fontId="5" type="noConversion"/>
  </si>
  <si>
    <t>并发用户</t>
    <phoneticPr fontId="5" type="noConversion"/>
  </si>
  <si>
    <t>电子邮件</t>
    <phoneticPr fontId="5" type="noConversion"/>
  </si>
  <si>
    <t>电子邮件</t>
    <phoneticPr fontId="6" type="noConversion"/>
  </si>
  <si>
    <t>个人办公</t>
    <phoneticPr fontId="5" type="noConversion"/>
  </si>
  <si>
    <t>-</t>
    <phoneticPr fontId="6" type="noConversion"/>
  </si>
  <si>
    <t>单独加密</t>
    <phoneticPr fontId="6" type="noConversion"/>
  </si>
  <si>
    <t>协同表单</t>
    <phoneticPr fontId="6" type="noConversion"/>
  </si>
  <si>
    <t>合同对接</t>
    <phoneticPr fontId="6" type="noConversion"/>
  </si>
  <si>
    <t>协同分析助手</t>
    <phoneticPr fontId="6" type="noConversion"/>
  </si>
  <si>
    <t>一体化应用对接</t>
    <phoneticPr fontId="5" type="noConversion"/>
  </si>
  <si>
    <t>合同对接</t>
    <phoneticPr fontId="5" type="noConversion"/>
  </si>
  <si>
    <t>-</t>
    <phoneticPr fontId="18" type="noConversion"/>
  </si>
  <si>
    <t>协同分析</t>
    <phoneticPr fontId="5" type="noConversion"/>
  </si>
  <si>
    <t>协同分析助手</t>
    <phoneticPr fontId="18" type="noConversion"/>
  </si>
  <si>
    <t>协同基础</t>
    <phoneticPr fontId="5" type="noConversion"/>
  </si>
  <si>
    <t>协同表单</t>
    <phoneticPr fontId="18" type="noConversion"/>
  </si>
  <si>
    <t>-</t>
    <phoneticPr fontId="5" type="noConversion"/>
  </si>
  <si>
    <t>特性</t>
  </si>
  <si>
    <t xml:space="preserve">必须依赖于核心人力资源管理、HR自助。  </t>
    <phoneticPr fontId="18" type="noConversion"/>
  </si>
  <si>
    <t xml:space="preserve">1、组织机构管理、人员信息管理、人员变动管理三个模块为必须同时购买的模块；
2、如选购其他人力资本模块，必须依赖于组织机构管理、人员信息管理、人员变动管理模块；
3、如选购绩效管理、招聘管理、任职资格模块，还依赖于经理自助和员工自助。
</t>
    <phoneticPr fontId="5" type="noConversion"/>
  </si>
  <si>
    <t>1、如选购利润中心交易模块，必须依赖库存管理模块；
2、如选购利润中心存货模块，必须依赖库存管理、存货核算模块。</t>
    <phoneticPr fontId="6" type="noConversion"/>
  </si>
  <si>
    <t>天创征腾影像平台报价</t>
    <phoneticPr fontId="6" type="noConversion"/>
  </si>
  <si>
    <t>产品领域</t>
  </si>
  <si>
    <t>模块名称</t>
  </si>
  <si>
    <t>模块价</t>
  </si>
  <si>
    <t>选择</t>
  </si>
  <si>
    <t>范围</t>
  </si>
  <si>
    <t>许可价</t>
  </si>
  <si>
    <t>许可数</t>
  </si>
  <si>
    <t>价格</t>
  </si>
  <si>
    <t>计价类型</t>
    <phoneticPr fontId="6" type="noConversion"/>
  </si>
  <si>
    <t>加密组</t>
    <phoneticPr fontId="6" type="noConversion"/>
  </si>
  <si>
    <t>许可数检验</t>
    <phoneticPr fontId="6" type="noConversion"/>
  </si>
  <si>
    <t>备注</t>
  </si>
  <si>
    <t>影像平台</t>
    <phoneticPr fontId="45" type="noConversion"/>
  </si>
  <si>
    <t>5-50</t>
  </si>
  <si>
    <t>扫描点</t>
    <phoneticPr fontId="6" type="noConversion"/>
  </si>
  <si>
    <r>
      <t>扫描点许可报价模式：扫描点数5-50时，单价0.8万；扫描点数51-100时，单价0.4万；扫描点数101-200时，单价0.2万；扫描点数201及以上时价格封顶</t>
    </r>
    <r>
      <rPr>
        <sz val="10"/>
        <rFont val="宋体"/>
        <family val="3"/>
        <charset val="134"/>
      </rPr>
      <t>。</t>
    </r>
    <phoneticPr fontId="45" type="noConversion"/>
  </si>
  <si>
    <t>51-100</t>
  </si>
  <si>
    <t>101-200</t>
    <phoneticPr fontId="45" type="noConversion"/>
  </si>
  <si>
    <t>201及以上</t>
    <phoneticPr fontId="45" type="noConversion"/>
  </si>
  <si>
    <t>封顶</t>
    <phoneticPr fontId="5" type="noConversion"/>
  </si>
  <si>
    <t>合计</t>
    <phoneticPr fontId="5" type="noConversion"/>
  </si>
  <si>
    <t>说明：</t>
    <phoneticPr fontId="5" type="noConversion"/>
  </si>
  <si>
    <r>
      <t>1）本报价只包含产品费用，不含实施、服务费及个性化需求可开等其他费用；
2）报价金额单位：人民币/万元。  
3)</t>
    </r>
    <r>
      <rPr>
        <b/>
        <sz val="10"/>
        <color rgb="FFFF0000"/>
        <rFont val="宋体"/>
        <family val="3"/>
        <charset val="134"/>
        <scheme val="minor"/>
      </rPr>
      <t>营销机构订货价为市场报价的40%（4折）。
影像管理产品阶梯计价特别说明：
最少5个终端，每个订单总价的计价方式为分段累计，比如某订单购买150个许可，该订单市场报价为（20+0.8*50+0.4*50+0.2*50）=90万，机构结算价为90*40%=36万。</t>
    </r>
    <phoneticPr fontId="5" type="noConversion"/>
  </si>
  <si>
    <t>依赖电子销售基础档案。</t>
    <phoneticPr fontId="5" type="noConversion"/>
  </si>
  <si>
    <t>如选购渠道补货协同模块，必须依赖于渠道管理公共模块、依赖电子销售基础档案。</t>
    <phoneticPr fontId="6" type="noConversion"/>
  </si>
  <si>
    <t>如选购，依赖渠道管理公共、沟通与协作、依赖电子销售基础档案。</t>
    <phoneticPr fontId="18" type="noConversion"/>
  </si>
  <si>
    <t>如选购，必须依赖电子采购基础设置模块。</t>
    <phoneticPr fontId="18" type="noConversion"/>
  </si>
  <si>
    <t>1、总价是指供应商管理、电子采购价格之和，价格=总价*20%；
2、可用寻源环节：发邀请公告、发布应答、发采购文件、确定专家、评分标准、评分设置、开启、汇总得分、会议、采购决策。</t>
    <phoneticPr fontId="18" type="noConversion"/>
  </si>
  <si>
    <t>1、总价是指供应商管理、电子采购价格之和，价格=总价*5%；
2、可用寻源环节：发邀请公告、发布应答、发采购文件、确定专家、评分标准、评分设置、开启、汇总得分、会议、在线竞价、采购决策。</t>
    <phoneticPr fontId="18" type="noConversion"/>
  </si>
  <si>
    <t>如选购电子采购模块，必须依赖电子采购基础设置模块。</t>
    <phoneticPr fontId="5" type="noConversion"/>
  </si>
  <si>
    <t>如选购，必须依赖于电子采购模块、采购寻源-标准招投标特性。</t>
    <phoneticPr fontId="18" type="noConversion"/>
  </si>
  <si>
    <t>如选购，必须依赖于电子采购模块。</t>
    <phoneticPr fontId="5" type="noConversion"/>
  </si>
  <si>
    <t>如选购，必须依赖于电子采购模块、采购寻源-标准招投标特性。</t>
    <phoneticPr fontId="5" type="noConversion"/>
  </si>
  <si>
    <t>项目管理</t>
    <phoneticPr fontId="5" type="noConversion"/>
  </si>
  <si>
    <t>项目管理</t>
    <phoneticPr fontId="46" type="noConversion"/>
  </si>
  <si>
    <t>_</t>
    <phoneticPr fontId="5" type="noConversion"/>
  </si>
  <si>
    <t>前期管理</t>
  </si>
  <si>
    <t>立项管理</t>
  </si>
  <si>
    <t>进度管理</t>
  </si>
  <si>
    <t>投资计划</t>
  </si>
  <si>
    <t>物资及服务</t>
  </si>
  <si>
    <t>现场管理</t>
  </si>
  <si>
    <t>质量安全</t>
  </si>
  <si>
    <t>验收管理</t>
  </si>
  <si>
    <t>决算及转固</t>
  </si>
  <si>
    <t>文档管理</t>
  </si>
  <si>
    <t>合同及费用</t>
  </si>
  <si>
    <t>项目看板</t>
  </si>
  <si>
    <t>单独加密</t>
    <phoneticPr fontId="5" type="noConversion"/>
  </si>
  <si>
    <t>如选购，必须依赖于项目立项。</t>
    <phoneticPr fontId="5" type="noConversion"/>
  </si>
  <si>
    <t xml:space="preserve">1、总价是指供应商管理、电子采购模块价之和，价格=总价*20%；
2、可用寻源环节：发邀请公告、发布应答、发采购文件、评分标准、评分设置、开启、汇总得分、会议、采购决策、确定专家。    </t>
    <phoneticPr fontId="6" type="noConversion"/>
  </si>
  <si>
    <t>1、总价是指供应商管理、电子采购模块价之和，价格=总价*5%；
2、可用寻源环节：发邀请公告、发布应答、发采购文件、评分标准、评分设置、开启、汇总得分、会议、在线竞价、采购决策、确定专家。</t>
    <phoneticPr fontId="6" type="noConversion"/>
  </si>
  <si>
    <t>条码管理</t>
    <phoneticPr fontId="6" type="noConversion"/>
  </si>
  <si>
    <t>条码管理</t>
    <phoneticPr fontId="6" type="noConversion"/>
  </si>
  <si>
    <t>-</t>
    <phoneticPr fontId="5" type="noConversion"/>
  </si>
  <si>
    <t>单独加密</t>
    <phoneticPr fontId="6" type="noConversion"/>
  </si>
  <si>
    <t>无线设备接口</t>
    <phoneticPr fontId="6" type="noConversion"/>
  </si>
  <si>
    <t>无线设备接口</t>
    <phoneticPr fontId="6" type="noConversion"/>
  </si>
  <si>
    <t xml:space="preserve"> 无线设备端数</t>
    <phoneticPr fontId="6" type="noConversion"/>
  </si>
  <si>
    <t xml:space="preserve"> 无线设备端数</t>
    <phoneticPr fontId="6" type="noConversion"/>
  </si>
  <si>
    <t>许可数控制无线条码终端数</t>
    <phoneticPr fontId="5" type="noConversion"/>
  </si>
  <si>
    <t>21个及以上端</t>
    <phoneticPr fontId="5" type="noConversion"/>
  </si>
  <si>
    <t>WMS集成接口</t>
    <phoneticPr fontId="6" type="noConversion"/>
  </si>
  <si>
    <t>WMS集成接口</t>
    <phoneticPr fontId="6" type="noConversion"/>
  </si>
  <si>
    <t>条码管理</t>
    <phoneticPr fontId="5" type="noConversion"/>
  </si>
  <si>
    <t>并发用户</t>
    <phoneticPr fontId="6" type="noConversion"/>
  </si>
  <si>
    <t>无线设备接口</t>
    <phoneticPr fontId="5" type="noConversion"/>
  </si>
  <si>
    <t>特性</t>
    <phoneticPr fontId="6" type="noConversion"/>
  </si>
  <si>
    <t>-</t>
    <phoneticPr fontId="5" type="noConversion"/>
  </si>
  <si>
    <t>许可数控制无线条码终端数量</t>
    <phoneticPr fontId="5" type="noConversion"/>
  </si>
  <si>
    <t xml:space="preserve">1）产品许可数折算成WAS许可数在200个以内，建议使用用友中间件，而不使用WAS中间件；产品许可数折算成WAS许可数在200个以上，则必须使用WAS中间件。
2）CPU数量计算规则指导说明：
   a、对于Itanium安腾（HP）系列，1个socket算一个CPU
   b、对于Power（IBM）系列，1个core算一个CPU
   c、对于M（ORACLE）系列，2个core算一个CPU
   d、对于T（ORACLE）系列，4个core算一个CPU
   e、对于使用Xeon（INTEL至强）系列，双核处理器1个socket算一个CPU，双核以上的4个core算一个CPU
3）本报价只包含产品费用，不含实施费、服务费等其他费用；
4）报价金额单位：人民币/万元。                                                                                                                                                                                                                                                                                                                                                                                                                                                           </t>
    <phoneticPr fontId="6" type="noConversion"/>
  </si>
  <si>
    <t>-</t>
    <phoneticPr fontId="5" type="noConversion"/>
  </si>
  <si>
    <t>1、每个许可包含100张自定义报表数量；
2、报表平台是为自定义报表的实现提供了定制平台，自定义报表的具体实现，需由客户自行定制或者委托实施服务人员帮助定制。</t>
    <phoneticPr fontId="5" type="noConversion"/>
  </si>
  <si>
    <t xml:space="preserve">1）产品注册用户数折算成WAS许可数在200个以内，建议使用用友中间件，而不使用WAS中间件；产品注册用户数折算成WAS许可数在200个以上，则必须使用WAS中间件。
2）CPU数量计算规则指导说明：
   a、对于Itanium安腾（HP）系列，1个socket算一个CPU
   b、对于Power（IBM）系列，1个core算一个CPU
   c、对于M（ORACLE）系列，2个core算一个CPU
   d、对于T（ORACLE）系列，4个core算一个CPU
   e、对于使用Xeon（INTEL至强）系列，双核处理器1个socket算一个CPU，双核以上的4个core算一个CPU
3）本报价只包含产品费用，不含实施费、服务费等其他费用；
4）报价金额单位：人民币/万元。   </t>
    <phoneticPr fontId="5" type="noConversion"/>
  </si>
  <si>
    <t>最低许可数</t>
    <phoneticPr fontId="6" type="noConversion"/>
  </si>
  <si>
    <t>简历解析</t>
    <phoneticPr fontId="5" type="noConversion"/>
  </si>
  <si>
    <r>
      <rPr>
        <b/>
        <sz val="10"/>
        <rFont val="宋体"/>
        <family val="3"/>
        <charset val="134"/>
        <scheme val="minor"/>
      </rPr>
      <t>按特性计价</t>
    </r>
    <r>
      <rPr>
        <sz val="10"/>
        <rFont val="宋体"/>
        <family val="3"/>
        <charset val="134"/>
        <scheme val="minor"/>
      </rPr>
      <t>（只控制是否购买，不控制许可数量）</t>
    </r>
    <phoneticPr fontId="5" type="noConversion"/>
  </si>
  <si>
    <t>必须依赖于核心人力资源管理和招聘管理。</t>
    <phoneticPr fontId="5" type="noConversion"/>
  </si>
  <si>
    <t xml:space="preserve">1）本报价只包含产品费用，不含实施费、服务费等其他费用；
2）报价金额单位：人民币/万元。   </t>
    <phoneticPr fontId="5" type="noConversion"/>
  </si>
  <si>
    <r>
      <rPr>
        <b/>
        <sz val="9"/>
        <rFont val="宋体"/>
        <family val="3"/>
        <charset val="134"/>
        <scheme val="minor"/>
      </rPr>
      <t>按特性计价</t>
    </r>
    <r>
      <rPr>
        <sz val="9"/>
        <rFont val="宋体"/>
        <family val="3"/>
        <charset val="134"/>
        <scheme val="minor"/>
      </rPr>
      <t>（只控制是否购买，不控制许可数量）</t>
    </r>
    <phoneticPr fontId="5" type="noConversion"/>
  </si>
  <si>
    <t xml:space="preserve">1）本报价只包含产品费用，不含实施费、服务费等其他费用；
2）报价金额单位：人民币/万元。                                                                                                                                                                                                                                                                                                                                                                                                                                                           </t>
    <phoneticPr fontId="6" type="noConversion"/>
  </si>
  <si>
    <t>5个端</t>
    <phoneticPr fontId="5" type="noConversion"/>
  </si>
  <si>
    <t>6--20个端</t>
    <phoneticPr fontId="5" type="noConversion"/>
  </si>
  <si>
    <t>21个及以上端</t>
    <phoneticPr fontId="5" type="noConversion"/>
  </si>
  <si>
    <t>XBRL应用平台</t>
    <phoneticPr fontId="5" type="noConversion"/>
  </si>
  <si>
    <t>收付款合同</t>
    <phoneticPr fontId="5" type="noConversion"/>
  </si>
  <si>
    <t>-</t>
    <phoneticPr fontId="5" type="noConversion"/>
  </si>
  <si>
    <t>-</t>
    <phoneticPr fontId="18" type="noConversion"/>
  </si>
  <si>
    <t>单独加密</t>
    <phoneticPr fontId="6" type="noConversion"/>
  </si>
  <si>
    <t>收付款合同</t>
    <phoneticPr fontId="6" type="noConversion"/>
  </si>
  <si>
    <t>-</t>
    <phoneticPr fontId="6" type="noConversion"/>
  </si>
  <si>
    <t>单独加密</t>
    <phoneticPr fontId="5" type="noConversion"/>
  </si>
  <si>
    <t>只控制是否购买，不控制许可数量。</t>
    <phoneticPr fontId="6" type="noConversion"/>
  </si>
  <si>
    <t>必须依赖于沟通与协作模块。
（注：沟通与协作是默认安装的免费模块）</t>
    <phoneticPr fontId="6" type="noConversion"/>
  </si>
  <si>
    <t>必须依赖于沟通与协作、合同文本管理模块。
（注：沟通与协作是默认安装的免费模块）</t>
    <phoneticPr fontId="6" type="noConversion"/>
  </si>
  <si>
    <t>必须依赖于自由表单。</t>
    <phoneticPr fontId="6" type="noConversion"/>
  </si>
  <si>
    <t>如选购，必须依赖沟通与协作。
（注：沟通与协作是默认安装的免费模块）</t>
    <phoneticPr fontId="5" type="noConversion"/>
  </si>
  <si>
    <t>如选购必须依赖基础包、沟通与协作。
（注：沟通与协作是默认安装的免费模块）</t>
    <phoneticPr fontId="5" type="noConversion"/>
  </si>
  <si>
    <t>如选购，必须依赖自由表单。</t>
    <phoneticPr fontId="5" type="noConversion"/>
  </si>
  <si>
    <t>共享服务</t>
  </si>
  <si>
    <t>共享服务作业平台</t>
  </si>
  <si>
    <t>1、本模块需与领域产品一起购买，如网上报账。
2、本模块的许可继承于进入共享服务的领域产品许可之和，如继承费用管理的许可。</t>
  </si>
  <si>
    <t>共享服务绩效管理（原型版）</t>
  </si>
  <si>
    <t>共享服务绩效分析（原型版）</t>
  </si>
  <si>
    <t>工单</t>
  </si>
  <si>
    <t xml:space="preserve">工单
</t>
  </si>
  <si>
    <t>本模块需与领域产品一起购买使用，如网上报账、应收管理、应付管理、资金管理、工单等。</t>
    <phoneticPr fontId="5" type="noConversion"/>
  </si>
  <si>
    <t>选购预算Excel端必须选购全面预算。</t>
    <phoneticPr fontId="5" type="noConversion"/>
  </si>
  <si>
    <t>薪酬福利</t>
    <phoneticPr fontId="6" type="noConversion"/>
  </si>
  <si>
    <t>薪酬管理</t>
    <phoneticPr fontId="6" type="noConversion"/>
  </si>
  <si>
    <t>-</t>
    <phoneticPr fontId="5" type="noConversion"/>
  </si>
  <si>
    <t>社保福利</t>
    <phoneticPr fontId="6" type="noConversion"/>
  </si>
  <si>
    <t>人力资本规划</t>
    <phoneticPr fontId="6" type="noConversion"/>
  </si>
  <si>
    <t>时间管理</t>
    <phoneticPr fontId="6" type="noConversion"/>
  </si>
  <si>
    <t>招聘管理</t>
    <phoneticPr fontId="6" type="noConversion"/>
  </si>
  <si>
    <t>绩效管理</t>
    <phoneticPr fontId="6" type="noConversion"/>
  </si>
  <si>
    <t xml:space="preserve">
NC产品目前支持的CA厂商包括：天威诚信、信安世纪、晟安科技。
第三方CA的报价，不在本报价中体现，可参考《CA报价建议》，详情需自行咨询CA厂商。</t>
    <phoneticPr fontId="6" type="noConversion"/>
  </si>
  <si>
    <t xml:space="preserve">1、如选购付款排程模块，必须依赖现金管理模块；
2、当商业汇票与应收管理、应付管理，集成应用时，需要购买现金管理模块；
3、如选购资金结算模块，建议购买现金管理模块；
4、如选购资金调度模块，建议购买现金管理模块；
5、如选购银行存款管理模块，必须依赖于现金管理模块；
6、如选购票据集中管理模块，必须依赖于商业汇票模块。
7、如需通过银企直联实现在线支付的，强制使用CA。需购买第三方CA的产品。
</t>
    <phoneticPr fontId="5" type="noConversion"/>
  </si>
  <si>
    <r>
      <t>1、模块价中已包含有2个结算中心数量；
2、在“许可数”栏目中填写的数量是指2个以上的购买数量，比如：需要购买3个结算中心数量，在“许可数”栏目中填写3即可。</t>
    </r>
    <r>
      <rPr>
        <sz val="10"/>
        <rFont val="宋体"/>
        <family val="3"/>
        <charset val="134"/>
        <scheme val="minor"/>
      </rPr>
      <t xml:space="preserve">
3、结算中心只有一个时，无需选择此项。</t>
    </r>
    <phoneticPr fontId="5" type="noConversion"/>
  </si>
  <si>
    <t>某银行的银行代扣接口，NC是否已经支持，请咨询总部（截止到发版，只支持了农行）；
如果没有支持，需要开发，该开发由集团的资源中心完成，报价也以资源中心的工作量报价为准。</t>
    <phoneticPr fontId="5" type="noConversion"/>
  </si>
  <si>
    <t>如选购，必须依赖经销商门户。
本版本支持了银行代扣的支付方式。
1.银行代扣，需要购买资金管理领域下的银企直联模块以及该银行的银行代扣接口特性；</t>
    <phoneticPr fontId="6" type="noConversion"/>
  </si>
  <si>
    <t xml:space="preserve">如果需要通过银企直联实现在线支付，从安全考虑，强制使用CA。所以需要购买第三方CA的产品。
NC产品目前支持的CA厂商包括：天威诚信、信安世纪、晟安科技。
第三方CA的报价，不在本报价中体现，可参考《CA报价建议》，详情需自行咨询CA厂商。
</t>
    <phoneticPr fontId="5" type="noConversion"/>
  </si>
  <si>
    <t xml:space="preserve">
NC产品目前支持的CA厂商包括：天威诚信、信安世纪、晟安科技。
第三方CA的报价，不在本报价中体现，可参考《CA报价建议》，详情需自行咨询CA厂商。</t>
    <phoneticPr fontId="5" type="noConversion"/>
  </si>
  <si>
    <t xml:space="preserve">在“许可数”栏目中填写的数量是指2个及以上的购买数量，比如：需要购买3个结算中心数量，在“许可数”栏目中填写3即可。
只有一个结算中心的，许可数为空即可。
</t>
    <phoneticPr fontId="18" type="noConversion"/>
  </si>
  <si>
    <t xml:space="preserve">如选购，必须依赖经销商门户。目前支持银行代扣和畅捷支付两种支付方式。
1.银行代扣，需要购买资金管理领域下的银企直联模块以及该银行的银行代扣接口特性；
</t>
    <phoneticPr fontId="6" type="noConversion"/>
  </si>
  <si>
    <t>银行接口报价</t>
    <phoneticPr fontId="6" type="noConversion"/>
  </si>
  <si>
    <t>基本业务包括：账户余额查询、账户对账单查询、对公支付、对私支付。部分银行还包括：集团支付、代发工资。
银行代扣业务：用于经销商对核心企业付款的场景。经销商账户可以是企业账户、也可以是个人账户，需要和企业、银行签订三方协议，并仅限于同行转账。</t>
    <phoneticPr fontId="5" type="noConversion"/>
  </si>
  <si>
    <t>产品名称</t>
    <phoneticPr fontId="6" type="noConversion"/>
  </si>
  <si>
    <t>银行名称</t>
    <phoneticPr fontId="6" type="noConversion"/>
  </si>
  <si>
    <t>基本业务报价</t>
    <phoneticPr fontId="5" type="noConversion"/>
  </si>
  <si>
    <t>选择与否</t>
    <phoneticPr fontId="6" type="noConversion"/>
  </si>
  <si>
    <t>银行代扣业务报价</t>
    <phoneticPr fontId="5" type="noConversion"/>
  </si>
  <si>
    <t>银行接口</t>
    <phoneticPr fontId="6" type="noConversion"/>
  </si>
  <si>
    <t>畅捷支付</t>
    <phoneticPr fontId="5" type="noConversion"/>
  </si>
  <si>
    <t>未实现</t>
    <phoneticPr fontId="5" type="noConversion"/>
  </si>
  <si>
    <t>通过畅捷支付的渠道可实现其他银行账户的支付、余额查询。为必选产品。</t>
    <phoneticPr fontId="5" type="noConversion"/>
  </si>
  <si>
    <t>工商银行</t>
    <phoneticPr fontId="6" type="noConversion"/>
  </si>
  <si>
    <t>接口区分普通版、专业版、推广版</t>
    <phoneticPr fontId="6" type="noConversion"/>
  </si>
  <si>
    <t>建设银行</t>
    <phoneticPr fontId="6" type="noConversion"/>
  </si>
  <si>
    <t>接口区分普通版、外联版、无加密版</t>
    <phoneticPr fontId="6" type="noConversion"/>
  </si>
  <si>
    <t>农业银行</t>
    <phoneticPr fontId="6" type="noConversion"/>
  </si>
  <si>
    <t>接口区分公网、专网</t>
    <phoneticPr fontId="6" type="noConversion"/>
  </si>
  <si>
    <t>交通银行</t>
    <phoneticPr fontId="6" type="noConversion"/>
  </si>
  <si>
    <t>中国银行</t>
  </si>
  <si>
    <t>招商银行</t>
  </si>
  <si>
    <t>深圳发展银行</t>
    <phoneticPr fontId="6" type="noConversion"/>
  </si>
  <si>
    <t>上海浦东发展银行</t>
    <phoneticPr fontId="6" type="noConversion"/>
  </si>
  <si>
    <t>兴业银行</t>
    <phoneticPr fontId="6" type="noConversion"/>
  </si>
  <si>
    <t>中信银行</t>
    <phoneticPr fontId="6" type="noConversion"/>
  </si>
  <si>
    <t>广发银行</t>
    <phoneticPr fontId="6" type="noConversion"/>
  </si>
  <si>
    <t>中国民生银行</t>
    <phoneticPr fontId="6" type="noConversion"/>
  </si>
  <si>
    <t>华夏银行</t>
    <phoneticPr fontId="6" type="noConversion"/>
  </si>
  <si>
    <t>中国光大银行</t>
    <phoneticPr fontId="6" type="noConversion"/>
  </si>
  <si>
    <t>中国邮政储蓄银行</t>
    <phoneticPr fontId="6" type="noConversion"/>
  </si>
  <si>
    <t>北京银行</t>
    <phoneticPr fontId="6" type="noConversion"/>
  </si>
  <si>
    <t>上海银行</t>
    <phoneticPr fontId="6" type="noConversion"/>
  </si>
  <si>
    <t>深圳平安银行</t>
    <phoneticPr fontId="6" type="noConversion"/>
  </si>
  <si>
    <t>徽商银行</t>
    <phoneticPr fontId="6" type="noConversion"/>
  </si>
  <si>
    <t>北京农村商业银行</t>
    <phoneticPr fontId="6" type="noConversion"/>
  </si>
  <si>
    <t>中国电力财务公司</t>
    <phoneticPr fontId="6" type="noConversion"/>
  </si>
  <si>
    <t>花旗银行</t>
    <phoneticPr fontId="6" type="noConversion"/>
  </si>
  <si>
    <t>日本瑞穗实业银行</t>
    <phoneticPr fontId="6" type="noConversion"/>
  </si>
  <si>
    <t>接口区分日本、大连、上海</t>
    <phoneticPr fontId="6" type="noConversion"/>
  </si>
  <si>
    <t>三菱东京日联银行</t>
    <phoneticPr fontId="6" type="noConversion"/>
  </si>
  <si>
    <t>客户定制银行1</t>
    <phoneticPr fontId="6" type="noConversion"/>
  </si>
  <si>
    <t>客户定制银行2</t>
    <phoneticPr fontId="6" type="noConversion"/>
  </si>
  <si>
    <t>客户定制银行3</t>
    <phoneticPr fontId="6" type="noConversion"/>
  </si>
  <si>
    <t>客户定制银行4</t>
    <phoneticPr fontId="6" type="noConversion"/>
  </si>
  <si>
    <t>客户定制银行5</t>
    <phoneticPr fontId="6" type="noConversion"/>
  </si>
  <si>
    <t>客户定制银行6</t>
  </si>
  <si>
    <t>客户定制银行7</t>
  </si>
  <si>
    <t>客户定制银行8</t>
  </si>
  <si>
    <t>客户定制银行9</t>
  </si>
  <si>
    <t>客户定制银行10</t>
  </si>
  <si>
    <t>欧盟银行接口</t>
    <phoneticPr fontId="5" type="noConversion"/>
  </si>
  <si>
    <t>依赖于银企直联、现金管理</t>
    <phoneticPr fontId="5" type="noConversion"/>
  </si>
  <si>
    <t>总计</t>
    <phoneticPr fontId="6" type="noConversion"/>
  </si>
  <si>
    <t xml:space="preserve">报价说明：
</t>
    <phoneticPr fontId="6" type="noConversion"/>
  </si>
  <si>
    <t>1、上述为NC系统已支持的银行接口，如果客户需要连接不在上述范围内的其他银行接口，可以利用客户定制银行通过开发接口实现；
2、客户定制银行，如需开发，开发费用另行议定；
3、报价金额单位：万元。</t>
    <phoneticPr fontId="6" type="noConversion"/>
  </si>
  <si>
    <t>接口只实现了公网</t>
    <phoneticPr fontId="6" type="noConversion"/>
  </si>
  <si>
    <t xml:space="preserve">依赖时需购买自由表单、网上报账，工单占用网上报账的许可，工单属于自由表单的特性，该相关特性依赖：
1）支持共享平台作业派单；依赖购买共享服务平台。
2）工作流审核通过后可配置实现推式生成应收应付单；依赖购买应收应付模块。
3）生成/联查凭证；依赖购买会计平台、总账模块。 
4）影像查看/影像扫描；依赖购买影像系统。 </t>
    <phoneticPr fontId="5" type="noConversion"/>
  </si>
  <si>
    <t>网上报账</t>
    <phoneticPr fontId="6" type="noConversion"/>
  </si>
  <si>
    <t>费用管理</t>
  </si>
  <si>
    <t>费用管理</t>
    <phoneticPr fontId="5" type="noConversion"/>
  </si>
  <si>
    <t>网上报账</t>
    <phoneticPr fontId="6" type="noConversion"/>
  </si>
  <si>
    <t>网上报账</t>
    <phoneticPr fontId="5" type="noConversion"/>
  </si>
  <si>
    <t>费用预算</t>
    <phoneticPr fontId="5" type="noConversion"/>
  </si>
  <si>
    <t>-</t>
    <phoneticPr fontId="5" type="noConversion"/>
  </si>
  <si>
    <t>项目立项</t>
    <phoneticPr fontId="6" type="noConversion"/>
  </si>
  <si>
    <t>_</t>
    <phoneticPr fontId="6" type="noConversion"/>
  </si>
  <si>
    <t>工程成本</t>
    <phoneticPr fontId="6" type="noConversion"/>
  </si>
  <si>
    <t>_</t>
    <phoneticPr fontId="5" type="noConversion"/>
  </si>
  <si>
    <t>预算管理</t>
    <phoneticPr fontId="5" type="noConversion"/>
  </si>
  <si>
    <t>成本管理</t>
    <phoneticPr fontId="5" type="noConversion"/>
  </si>
  <si>
    <t>决算及转固</t>
    <phoneticPr fontId="5" type="noConversion"/>
  </si>
  <si>
    <t>项目过程</t>
    <phoneticPr fontId="6" type="noConversion"/>
  </si>
  <si>
    <t>项目合同</t>
    <phoneticPr fontId="6" type="noConversion"/>
  </si>
  <si>
    <t>-</t>
    <phoneticPr fontId="5" type="noConversion"/>
  </si>
  <si>
    <t>单独加密</t>
    <phoneticPr fontId="5" type="noConversion"/>
  </si>
  <si>
    <t>项目看板</t>
    <phoneticPr fontId="5" type="noConversion"/>
  </si>
  <si>
    <t>物资及服务</t>
    <phoneticPr fontId="5" type="noConversion"/>
  </si>
  <si>
    <t>现场管理</t>
    <phoneticPr fontId="5" type="noConversion"/>
  </si>
  <si>
    <t>供应商管理</t>
    <phoneticPr fontId="18" type="noConversion"/>
  </si>
  <si>
    <t>-</t>
    <phoneticPr fontId="5" type="noConversion"/>
  </si>
  <si>
    <t>-</t>
    <phoneticPr fontId="5" type="noConversion"/>
  </si>
  <si>
    <t>如选购，必须依赖电子采购基础设置模块。</t>
    <phoneticPr fontId="18" type="noConversion"/>
  </si>
  <si>
    <t>10001及以上</t>
    <phoneticPr fontId="5" type="noConversion"/>
  </si>
  <si>
    <t>5001-10000</t>
    <phoneticPr fontId="5" type="noConversion"/>
  </si>
  <si>
    <t>注册经销商数</t>
    <phoneticPr fontId="5" type="noConversion"/>
  </si>
  <si>
    <t>注册供应商数</t>
    <phoneticPr fontId="5" type="noConversion"/>
  </si>
  <si>
    <t>5001-10000人</t>
    <phoneticPr fontId="5" type="noConversion"/>
  </si>
  <si>
    <t>标准产品中共享服务绩效分析支持展现常用的每日任务状态统计、工作量统计、库存统计、时效统计、差错率统计，每个项目根据客户要求不同，一般会需要单独实施配置表样或存在一定客开工作。</t>
    <phoneticPr fontId="5" type="noConversion"/>
  </si>
  <si>
    <t>根据计价类型不同，确定WAS和计价类型许可数的折算比例，自动加总列示。
1、并发用户计价类型按1：1的比例折算计入WAS许可数；
2、注册供应商数、注册经销商数按100：1的比例折算计入WAS许可数、自助并发用户计价类型按10：1的比例折算计入WAS许可数；
3、其它计价类型不计算WAS许可数；
4、产品领域许可数折算成中间件许可数在100个以内，建议使用用友中间件，而不使用WAS中间件；产品领域许可数折算成WAS许可数在100个以上，则必须使用WAS中间件。</t>
    <phoneticPr fontId="6" type="noConversion"/>
  </si>
  <si>
    <t>本模块需要与共享服务作业平台一起购买。</t>
    <phoneticPr fontId="5" type="noConversion"/>
  </si>
  <si>
    <t>6-20个端</t>
    <phoneticPr fontId="5" type="noConversion"/>
  </si>
  <si>
    <t>-</t>
    <phoneticPr fontId="5" type="noConversion"/>
  </si>
  <si>
    <t>1、工单的用户占用网上报账的许可；
2、工单的许可价在网上报账领域中体现。</t>
    <phoneticPr fontId="5" type="noConversion"/>
  </si>
  <si>
    <t xml:space="preserve">1、含运行平台、计划平台以及应用管理平台中的开发配置工具、实施工具、应用资产管理。平台用户数量为各领域用户数量之和。HR自助、网上报账、协同管理的基础包、增强包、公文管理、渠道管理、客户关系管理按10:1折算用户数，供应商门户、经销商门户按100:1折算用户数量。累计1000个用户以内时，平台价格为30万，累计1001-3000个用户时，平台价格60万，累计3001-5000时平台价格90万，累计用户数量大于5001时，平台价格120万。
</t>
    <phoneticPr fontId="5" type="noConversion"/>
  </si>
  <si>
    <t>-</t>
    <phoneticPr fontId="6" type="noConversion"/>
  </si>
  <si>
    <t>10001人及以上</t>
    <phoneticPr fontId="5" type="noConversion"/>
  </si>
  <si>
    <t>银行存款管理</t>
    <phoneticPr fontId="6" type="noConversion"/>
  </si>
  <si>
    <t>银行贷款管理</t>
    <phoneticPr fontId="6" type="noConversion"/>
  </si>
  <si>
    <t>担保管理</t>
    <phoneticPr fontId="6" type="noConversion"/>
  </si>
  <si>
    <t>保函管理</t>
    <phoneticPr fontId="6" type="noConversion"/>
  </si>
  <si>
    <t>内部存款管理</t>
    <phoneticPr fontId="6" type="noConversion"/>
  </si>
  <si>
    <t>内部贷款管理</t>
    <phoneticPr fontId="6" type="noConversion"/>
  </si>
  <si>
    <t>票据集中管理</t>
    <phoneticPr fontId="6" type="noConversion"/>
  </si>
  <si>
    <t>1、如选购合并报表模块，必须依赖于企业报表模块；
2、如选购合并账簿模块，必须依赖于总账模块。</t>
    <phoneticPr fontId="5" type="noConversion"/>
  </si>
  <si>
    <t>如果选购NC-XBRL，必须依赖XBRL工具模块和企业报表模块。</t>
    <phoneticPr fontId="5" type="noConversion"/>
  </si>
  <si>
    <t>个性化定制</t>
    <phoneticPr fontId="5" type="noConversion"/>
  </si>
  <si>
    <t xml:space="preserve">个性化定制
</t>
    <phoneticPr fontId="5" type="noConversion"/>
  </si>
  <si>
    <t>-</t>
    <phoneticPr fontId="5" type="noConversion"/>
  </si>
  <si>
    <t>-</t>
    <phoneticPr fontId="5" type="noConversion"/>
  </si>
  <si>
    <t>特性</t>
    <phoneticPr fontId="5" type="noConversion"/>
  </si>
  <si>
    <t>单独加密</t>
    <phoneticPr fontId="5" type="noConversion"/>
  </si>
  <si>
    <t>个性花定制业务依赖个性化定制特性</t>
    <phoneticPr fontId="5" type="noConversion"/>
  </si>
  <si>
    <t>1、如选购必须依赖于物料管理；
2、序列号业务依赖序列号管理模块；
3、个性花定制业务依赖个性化定制特性。</t>
    <phoneticPr fontId="18" type="noConversion"/>
  </si>
  <si>
    <t>渠道管理</t>
    <phoneticPr fontId="5" type="noConversion"/>
  </si>
  <si>
    <t>渠道管理</t>
    <phoneticPr fontId="18" type="noConversion"/>
  </si>
  <si>
    <t>1、本模块需与领域产品一起购买，如网上报账。
2、本模块的许可继承于进入共享服务的领域产品许可之和，如继承费用管理的许可。</t>
    <phoneticPr fontId="5" type="noConversion"/>
  </si>
  <si>
    <t>本模块需要与共享服务作业平台一起购买。</t>
    <phoneticPr fontId="5" type="noConversion"/>
  </si>
  <si>
    <t>本模块需与领域产品一起购买使用，如网上报账、应收管理、应付管理、资金管理、工单。</t>
    <phoneticPr fontId="5" type="noConversion"/>
  </si>
  <si>
    <t>如选购NC5X财务数据方案，必须依赖于数据方案。</t>
    <phoneticPr fontId="5" type="noConversion"/>
  </si>
  <si>
    <t>1、如选购欧盟VAT报表模块，必须依赖于总账模块；
2、应收管理、应付管理与商业汇票集成应用时，需要购买现金管理”。</t>
    <phoneticPr fontId="5" type="noConversion"/>
  </si>
  <si>
    <r>
      <t>1、如选购销售运营计划模块，必须依赖流程生产任务管理或离散生产任务管理、需求计划模块；
2、如选购需求计划模块，必须依赖流程生产任务管理或离散生产任务管理；
3、如选购主生产计划模块，必须依赖流程生产任务管理或离散生产任务管理；
4、如选购物料需求计划模块，必须依赖流程生产任务管理或离散生产任务管理；
5、如选购排产管理模块，必须依赖主生产计划或物料需求计划模块；
6、如选购流程生产任务管理模块，必须依赖于库存管理模块；
7、如选购离散生产任务管理模块，必须依赖于库存管理模块；
8、车间管理必须依赖于必须依赖流程生产任务管理或离散生产任务管理模块;
9、工序委外必须依赖车间管理和采购管理模块；                10、序列号业务依赖序列号管理模块；
11、个性花定制业务依赖个性化定制特性。</t>
    </r>
    <r>
      <rPr>
        <sz val="10"/>
        <color rgb="FFFF0000"/>
        <rFont val="宋体"/>
        <family val="3"/>
        <charset val="134"/>
      </rPr>
      <t xml:space="preserve">
</t>
    </r>
    <r>
      <rPr>
        <sz val="10"/>
        <color theme="1"/>
        <rFont val="宋体"/>
        <family val="3"/>
        <charset val="134"/>
      </rPr>
      <t xml:space="preserve">
</t>
    </r>
    <phoneticPr fontId="5" type="noConversion"/>
  </si>
  <si>
    <t>1、如选购资产使用管理模块，必须依赖于资产信息管理模块；
2、如选购资产租出管理模块、资产租入管理模块，必须依赖于资产信息管理模块；
3、如选购运行管理模块，必须依赖于资产信息管理模块；
4、如选购维护管理模块，必须依赖于资产信息管理模块；
6、如选购维修管理模块，必须依赖于资产信息管理模块。</t>
    <phoneticPr fontId="5" type="noConversion"/>
  </si>
  <si>
    <t>如选购项目看板，必须依赖于立项管理。
如选购前期管理，必须依赖于立项管理。
如选购进度管理，必须依赖于立项管理。
如选购投资计划，必须依赖于立项管理。
如选购预算管理，必须依赖于立项管理。
如选购物资及服务，必须依赖于立项管理。
如选购现场管理，必须依赖于立项管理。
如选购质量安全，必须依赖于立项管理。
如选购验收管理，必须依赖于立项管理。
如选购决算及转固，必须依赖于立项管理。
如选购文档管理，必须依赖于立项管理。
如选购合同及费用，必须依赖于立项管理。
如选购成本管理，必须依赖于立项管理。</t>
    <phoneticPr fontId="5" type="noConversion"/>
  </si>
  <si>
    <t>1、所有进出口产品依赖于供应链基础模块；
2、如选购自营进口模块，必须依赖采购管理模块；
3、如选购自营出口模块，必须依赖库存管理模块；
4、如选购转口贸易模块，必须依赖自营进口模块；
5、如选购代理进口模块，必须依赖自营进口模块；
6、如选购代理出口模块，必须依赖自营出口模块。</t>
    <phoneticPr fontId="5" type="noConversion"/>
  </si>
  <si>
    <t>-</t>
    <phoneticPr fontId="5" type="noConversion"/>
  </si>
  <si>
    <t>如选购欧盟VAT报表模块，必须依赖于财务会计。</t>
    <phoneticPr fontId="18" type="noConversion"/>
  </si>
  <si>
    <t>1、依赖企业资金管理；
2、购买付款排程，必须购买现金管理，以实现按计划在现金管理填制完成付款结算。</t>
    <phoneticPr fontId="18" type="noConversion"/>
  </si>
  <si>
    <t>1、购买资金结算建议购买企业资金管理，以使成员单位在系统填制付款结算单，传递到结算中心；
2、如选购结算中心，必须依赖企业资金管理。
3、如果需要通过银企直联实现在在线支付，强制使用CA。需购买第三方CA的产品。</t>
    <phoneticPr fontId="18" type="noConversion"/>
  </si>
  <si>
    <t>需要购买资金管理的现金管理、银企直联、商业汇票、银行授信管理、银行贷款管理、银行存款管理、担保管理、内部存款管理、内部贷款管理其中至少一个模块。如果需要修改预置的资金分析报表，需要购买报表平台的许可。</t>
    <phoneticPr fontId="5" type="noConversion"/>
  </si>
  <si>
    <t>1、依赖企业资金管理。
2、强制使用CA。需购买第三方CA的产品。</t>
    <phoneticPr fontId="18" type="noConversion"/>
  </si>
  <si>
    <t>如选购，必须依赖沟通与协作、合同文本管理。
（注：沟通与协作是默认安装的免费模块）</t>
    <phoneticPr fontId="5" type="noConversion"/>
  </si>
  <si>
    <t>如选购，必须依赖于电子采购。</t>
    <phoneticPr fontId="5" type="noConversion"/>
  </si>
  <si>
    <t>如选购，必须依赖于项目立项。</t>
    <phoneticPr fontId="5" type="noConversion"/>
  </si>
  <si>
    <t xml:space="preserve"> </t>
    <phoneticPr fontId="5" type="noConversion"/>
  </si>
  <si>
    <t>运营服务单价（人月）</t>
    <phoneticPr fontId="5" type="noConversion"/>
  </si>
  <si>
    <t>优惠后许可数</t>
    <phoneticPr fontId="18" type="noConversion"/>
  </si>
  <si>
    <t>订购用户数</t>
    <phoneticPr fontId="18" type="noConversion"/>
  </si>
  <si>
    <t>购买月</t>
    <phoneticPr fontId="18" type="noConversion"/>
  </si>
  <si>
    <t>订购人月</t>
    <phoneticPr fontId="5" type="noConversion"/>
  </si>
  <si>
    <t>赠送月</t>
    <phoneticPr fontId="18" type="noConversion"/>
  </si>
  <si>
    <t>金额</t>
    <phoneticPr fontId="5" type="noConversion"/>
  </si>
  <si>
    <t>最低可订购人月数</t>
    <phoneticPr fontId="5" type="noConversion"/>
  </si>
  <si>
    <t>加密组</t>
    <phoneticPr fontId="5" type="noConversion"/>
  </si>
  <si>
    <t>适配版本</t>
    <phoneticPr fontId="5" type="noConversion"/>
  </si>
  <si>
    <t>备注</t>
    <phoneticPr fontId="5" type="noConversion"/>
  </si>
  <si>
    <t>与注册用户报价
产品依赖关系</t>
    <phoneticPr fontId="5" type="noConversion"/>
  </si>
  <si>
    <t>与并发报价
产品依赖关系</t>
    <phoneticPr fontId="5" type="noConversion"/>
  </si>
  <si>
    <t>范围</t>
    <phoneticPr fontId="5" type="noConversion"/>
  </si>
  <si>
    <t>价格（元）</t>
    <phoneticPr fontId="5" type="noConversion"/>
  </si>
  <si>
    <t>移动应用服务器</t>
    <phoneticPr fontId="5" type="noConversion"/>
  </si>
  <si>
    <t>移动应用服务器</t>
    <phoneticPr fontId="6" type="noConversion"/>
  </si>
  <si>
    <t>-</t>
    <phoneticPr fontId="5" type="noConversion"/>
  </si>
  <si>
    <t>-</t>
    <phoneticPr fontId="18" type="noConversion"/>
  </si>
  <si>
    <t>2CPU/1年</t>
    <phoneticPr fontId="5" type="noConversion"/>
  </si>
  <si>
    <t>每CPU每年</t>
    <phoneticPr fontId="5" type="noConversion"/>
  </si>
  <si>
    <t>单独加密</t>
    <phoneticPr fontId="5" type="noConversion"/>
  </si>
  <si>
    <t>许可数是服务器的CPU数量和租赁年度数的乘积</t>
    <phoneticPr fontId="5" type="noConversion"/>
  </si>
  <si>
    <t>资产管理</t>
    <phoneticPr fontId="5" type="noConversion"/>
  </si>
  <si>
    <t>每用户每月</t>
    <phoneticPr fontId="5" type="noConversion"/>
  </si>
  <si>
    <t>移动应用</t>
    <phoneticPr fontId="5" type="noConversion"/>
  </si>
  <si>
    <t xml:space="preserve">企业+
（移动应用统一入口，集成了通讯录、消息看板、IM等功能）
</t>
    <phoneticPr fontId="5" type="noConversion"/>
  </si>
  <si>
    <t>0-24000人月</t>
    <phoneticPr fontId="5" type="noConversion"/>
  </si>
  <si>
    <t>适配于NCV61及NCV633的所有版本</t>
    <phoneticPr fontId="5" type="noConversion"/>
  </si>
  <si>
    <t>1.移动应用统一入口，集成了通讯录、消息看板、IM等功能。
2.使用“企业+”产品的前提是必须订购“移动应用服务器”产品</t>
    <phoneticPr fontId="5" type="noConversion"/>
  </si>
  <si>
    <t>24001-60000人月</t>
    <phoneticPr fontId="5" type="noConversion"/>
  </si>
  <si>
    <t>60001以上人月</t>
    <phoneticPr fontId="5" type="noConversion"/>
  </si>
  <si>
    <t>协同应用（NCV6.1&amp;NCV6.3）</t>
    <phoneticPr fontId="6" type="noConversion"/>
  </si>
  <si>
    <t>通讯录</t>
    <phoneticPr fontId="6" type="noConversion"/>
  </si>
  <si>
    <t>如选购必须依赖企业协同沟通与协作模块（免费模块）。</t>
    <phoneticPr fontId="6" type="noConversion"/>
  </si>
  <si>
    <t>协同日程</t>
    <phoneticPr fontId="6" type="noConversion"/>
  </si>
  <si>
    <t>信息阅览</t>
    <phoneticPr fontId="6" type="noConversion"/>
  </si>
  <si>
    <t>如选购必须依赖企业协同基础包。</t>
    <phoneticPr fontId="6" type="noConversion"/>
  </si>
  <si>
    <t>如选购必须依赖信息发布。</t>
    <phoneticPr fontId="6" type="noConversion"/>
  </si>
  <si>
    <t>协作任务</t>
    <phoneticPr fontId="5" type="noConversion"/>
  </si>
  <si>
    <t>如选购必须依赖个人办公。</t>
    <phoneticPr fontId="6" type="noConversion"/>
  </si>
  <si>
    <t>协同工作</t>
    <phoneticPr fontId="5" type="noConversion"/>
  </si>
  <si>
    <t>如选购必须依赖协同工作。</t>
    <phoneticPr fontId="6" type="noConversion"/>
  </si>
  <si>
    <t>协同工作台（7in1）</t>
    <phoneticPr fontId="5" type="noConversion"/>
  </si>
  <si>
    <t>协同工作台（7in1）是以下7个APP的整合，包括：通讯录、协同日程、信息阅览、协作任务、协同工作、消息看板、移动审批。采购了协同工作台（7in1），就不需要再采购以上的7个APP。</t>
    <phoneticPr fontId="5" type="noConversion"/>
  </si>
  <si>
    <t>如选购必须依赖个人办公、信息发布、协同工作。</t>
    <phoneticPr fontId="5" type="noConversion"/>
  </si>
  <si>
    <t>移动HR（NCV6.1&amp;NCV6.3）</t>
    <phoneticPr fontId="6" type="noConversion"/>
  </si>
  <si>
    <t>考勤查询</t>
    <phoneticPr fontId="5" type="noConversion"/>
  </si>
  <si>
    <t>如选购必须依赖时间管理。</t>
    <phoneticPr fontId="6" type="noConversion"/>
  </si>
  <si>
    <t>薪资查询</t>
    <phoneticPr fontId="5" type="noConversion"/>
  </si>
  <si>
    <t>如选购必须依赖薪酬管理。</t>
    <phoneticPr fontId="6" type="noConversion"/>
  </si>
  <si>
    <t>移动协同
（ECM6.33及以后版本）</t>
    <phoneticPr fontId="5" type="noConversion"/>
  </si>
  <si>
    <t xml:space="preserve">掌上协同
</t>
    <phoneticPr fontId="5" type="noConversion"/>
  </si>
  <si>
    <t>只适配于NCV6.33及以后版本</t>
    <phoneticPr fontId="5" type="noConversion"/>
  </si>
  <si>
    <t>包括通讯录、工作日程、信息阅览、关键任务、发起协同等应用。</t>
    <phoneticPr fontId="5" type="noConversion"/>
  </si>
  <si>
    <t>如选购必须依赖企业协同基础包。</t>
    <phoneticPr fontId="5" type="noConversion"/>
  </si>
  <si>
    <t>如选购必须依赖个人办公、信息发布、协同工作、沟通与协作。</t>
    <phoneticPr fontId="5" type="noConversion"/>
  </si>
  <si>
    <t>移动HR
（HCM6.33及以后版本）</t>
    <phoneticPr fontId="5" type="noConversion"/>
  </si>
  <si>
    <t>移动HR</t>
    <phoneticPr fontId="5" type="noConversion"/>
  </si>
  <si>
    <t>包括通讯录、我的考勤、移动签到、薪资查询、个人信息和我的团队等应用。</t>
    <phoneticPr fontId="5" type="noConversion"/>
  </si>
  <si>
    <t>如选购必须依赖核心人力资源包。</t>
    <phoneticPr fontId="5" type="noConversion"/>
  </si>
  <si>
    <t>如选购必须依赖人员信息管理。</t>
    <phoneticPr fontId="5" type="noConversion"/>
  </si>
  <si>
    <t>销售分销</t>
    <phoneticPr fontId="6" type="noConversion"/>
  </si>
  <si>
    <t>经销商下单（NCV6.1&amp;NCV6.3&amp;NCV65）</t>
    <phoneticPr fontId="5" type="noConversion"/>
  </si>
  <si>
    <t>适配于NCV6.1与NCV6.3版本</t>
    <phoneticPr fontId="5" type="noConversion"/>
  </si>
  <si>
    <t>如选购必须依赖经销商门户。</t>
    <phoneticPr fontId="6" type="noConversion"/>
  </si>
  <si>
    <t>销售订单跟踪</t>
    <phoneticPr fontId="5" type="noConversion"/>
  </si>
  <si>
    <t>如选购必须依赖销售管理。</t>
    <phoneticPr fontId="6" type="noConversion"/>
  </si>
  <si>
    <t>客户查询</t>
    <phoneticPr fontId="6" type="noConversion"/>
  </si>
  <si>
    <t>如选购必须依赖销售管理。</t>
  </si>
  <si>
    <t xml:space="preserve"> </t>
    <phoneticPr fontId="6" type="noConversion"/>
  </si>
  <si>
    <t>可用量查询</t>
    <phoneticPr fontId="5" type="noConversion"/>
  </si>
  <si>
    <t>如选购必须依赖库存管理。</t>
    <phoneticPr fontId="6" type="noConversion"/>
  </si>
  <si>
    <t>销售日报</t>
    <phoneticPr fontId="5" type="noConversion"/>
  </si>
  <si>
    <t>销售分析</t>
    <phoneticPr fontId="5" type="noConversion"/>
  </si>
  <si>
    <t>如选购必须依赖销售管理。。</t>
    <phoneticPr fontId="6" type="noConversion"/>
  </si>
  <si>
    <t>公共应用</t>
    <phoneticPr fontId="5" type="noConversion"/>
  </si>
  <si>
    <t>消息看板</t>
    <phoneticPr fontId="5" type="noConversion"/>
  </si>
  <si>
    <t>移动审批</t>
    <phoneticPr fontId="6" type="noConversion"/>
  </si>
  <si>
    <t>只适配于NCV6.33</t>
    <phoneticPr fontId="18" type="noConversion"/>
  </si>
  <si>
    <t>企业绩效</t>
    <phoneticPr fontId="5" type="noConversion"/>
  </si>
  <si>
    <t>掌管报送</t>
    <phoneticPr fontId="5" type="noConversion"/>
  </si>
  <si>
    <t>如选购必须依赖企业报表。</t>
    <phoneticPr fontId="6" type="noConversion"/>
  </si>
  <si>
    <t>掌阅指标</t>
    <phoneticPr fontId="5" type="noConversion"/>
  </si>
  <si>
    <t>预算编报掌控</t>
    <phoneticPr fontId="5" type="noConversion"/>
  </si>
  <si>
    <t>如选购必须依赖全面预算。</t>
    <phoneticPr fontId="5" type="noConversion"/>
  </si>
  <si>
    <t>预算指标分析</t>
    <phoneticPr fontId="5" type="noConversion"/>
  </si>
  <si>
    <t>资金管理</t>
    <phoneticPr fontId="5" type="noConversion"/>
  </si>
  <si>
    <t>资金分析</t>
    <phoneticPr fontId="5" type="noConversion"/>
  </si>
  <si>
    <t>适配于NCV6.31及NCV633版本</t>
    <phoneticPr fontId="5" type="noConversion"/>
  </si>
  <si>
    <t>如选购必须依赖企业资金管理。</t>
    <phoneticPr fontId="5" type="noConversion"/>
  </si>
  <si>
    <t>如选购必须依赖银企直联。</t>
    <phoneticPr fontId="5" type="noConversion"/>
  </si>
  <si>
    <t>财务会计</t>
    <phoneticPr fontId="5" type="noConversion"/>
  </si>
  <si>
    <t>移动报销</t>
  </si>
  <si>
    <t>适配于NCV6.3至NCV633版本</t>
    <phoneticPr fontId="5" type="noConversion"/>
  </si>
  <si>
    <t>如选购必须依赖费用管理。</t>
    <phoneticPr fontId="5" type="noConversion"/>
  </si>
  <si>
    <t>经销商助手</t>
    <phoneticPr fontId="5" type="noConversion"/>
  </si>
  <si>
    <t>0-3600人月</t>
    <phoneticPr fontId="5" type="noConversion"/>
  </si>
  <si>
    <t>如选购必须依赖经销商门户。</t>
    <phoneticPr fontId="5" type="noConversion"/>
  </si>
  <si>
    <t>3601-12000人月</t>
    <phoneticPr fontId="5" type="noConversion"/>
  </si>
  <si>
    <t>12001-36000人月</t>
    <phoneticPr fontId="5" type="noConversion"/>
  </si>
  <si>
    <t>36001以上人月</t>
    <phoneticPr fontId="5" type="noConversion"/>
  </si>
  <si>
    <t>渠道拜访</t>
    <phoneticPr fontId="5" type="noConversion"/>
  </si>
  <si>
    <t>适配于NCV6.31至NCV633版本</t>
    <phoneticPr fontId="5" type="noConversion"/>
  </si>
  <si>
    <t>销售人员对客户或者渠道进行日常销售拜访的移动应用工具，拜访日程的管理、工作项目执行，包括拜访位置签到等应用</t>
    <phoneticPr fontId="5" type="noConversion"/>
  </si>
  <si>
    <t>如选购必须依赖渠道拜访。</t>
    <phoneticPr fontId="5" type="noConversion"/>
  </si>
  <si>
    <t>客户关系管理</t>
    <phoneticPr fontId="5" type="noConversion"/>
  </si>
  <si>
    <t>移动CRM</t>
    <phoneticPr fontId="5" type="noConversion"/>
  </si>
  <si>
    <t>适配于NCV6.32及NCV633版本</t>
    <phoneticPr fontId="5" type="noConversion"/>
  </si>
  <si>
    <t>销售人员随身销售工具，包括联系人、客户、商机、线索、销售漏斗、销售预测、行动、日程、自定义对象等销售过程和行为管理</t>
    <phoneticPr fontId="5" type="noConversion"/>
  </si>
  <si>
    <t>如选购必须依赖客户管理、销售自动化。</t>
    <phoneticPr fontId="5" type="noConversion"/>
  </si>
  <si>
    <t>市场活动</t>
    <phoneticPr fontId="5" type="noConversion"/>
  </si>
  <si>
    <t>只适配于NCV6.33版本</t>
    <phoneticPr fontId="5" type="noConversion"/>
  </si>
  <si>
    <t>如选购必须依赖市场营销。</t>
    <phoneticPr fontId="5" type="noConversion"/>
  </si>
  <si>
    <t>总计</t>
    <phoneticPr fontId="5" type="noConversion"/>
  </si>
  <si>
    <t>报价说明：</t>
    <phoneticPr fontId="5" type="noConversion"/>
  </si>
  <si>
    <t>1、移动应用服务器，按每CPU每年报价，许可数是服务器的CPU数量和租赁年度数的乘积；
2、所有APP的计价类型均是按照每用户每月；
3、上述报价在销售时不允许有任何折扣；
4、订购移动应用运营模式，除需要满足报价单中每个APP每次订购的最低用户数以外；还需要按照客户订购APP的实际使用的用户数，要求每次必须至少订购一年的时间，即：每一次订购的最低人月数=订购用户数*12；
5、报价金额单位：元/人民币。</t>
    <phoneticPr fontId="5" type="noConversion"/>
  </si>
  <si>
    <t>-</t>
    <phoneticPr fontId="5" type="noConversion"/>
  </si>
  <si>
    <t>每用户每月</t>
    <phoneticPr fontId="5" type="noConversion"/>
  </si>
  <si>
    <t>单独加密</t>
    <phoneticPr fontId="5" type="noConversion"/>
  </si>
  <si>
    <t>只适配于NCV6.33</t>
    <phoneticPr fontId="18" type="noConversion"/>
  </si>
  <si>
    <t>如选购必须依赖银企直联模块与现金管理模块。</t>
    <phoneticPr fontId="5" type="noConversion"/>
  </si>
  <si>
    <t>孵化版-收款认领</t>
    <phoneticPr fontId="18" type="noConversion"/>
  </si>
  <si>
    <t>掌阅报表</t>
    <phoneticPr fontId="18" type="noConversion"/>
  </si>
  <si>
    <t>移动应用分组</t>
    <phoneticPr fontId="6" type="noConversion"/>
  </si>
  <si>
    <t>移动应用名称</t>
    <phoneticPr fontId="6" type="noConversion"/>
  </si>
  <si>
    <t>NCV6移动应用运营服务报价</t>
    <phoneticPr fontId="5" type="noConversion"/>
  </si>
  <si>
    <t>掌管设备
(8 in 1)</t>
    <phoneticPr fontId="5" type="noConversion"/>
  </si>
  <si>
    <r>
      <t>掌管设备（</t>
    </r>
    <r>
      <rPr>
        <b/>
        <sz val="9"/>
        <rFont val="宋体"/>
        <family val="3"/>
        <charset val="134"/>
        <scheme val="minor"/>
      </rPr>
      <t>8</t>
    </r>
    <r>
      <rPr>
        <sz val="9"/>
        <rFont val="宋体"/>
        <family val="3"/>
        <charset val="134"/>
        <scheme val="minor"/>
      </rPr>
      <t>in1）是以下</t>
    </r>
    <r>
      <rPr>
        <b/>
        <sz val="9"/>
        <rFont val="宋体"/>
        <family val="3"/>
        <charset val="134"/>
        <scheme val="minor"/>
      </rPr>
      <t>8</t>
    </r>
    <r>
      <rPr>
        <sz val="9"/>
        <rFont val="宋体"/>
        <family val="3"/>
        <charset val="134"/>
        <scheme val="minor"/>
      </rPr>
      <t xml:space="preserve">个APP的整合，包括：设备码扫描、设备码输入、点检管理、巡检管理、故障记录、维修工单、设备台账、工单台账。
</t>
    </r>
    <phoneticPr fontId="5" type="noConversion"/>
  </si>
  <si>
    <t>如选购必须依赖集团资产管理、资产维修维护。</t>
    <phoneticPr fontId="6" type="noConversion"/>
  </si>
  <si>
    <t>如选购必须依赖资产管理领域下资产信息管理、运行管理、维修管理、维护管理。</t>
    <phoneticPr fontId="6" type="noConversion"/>
  </si>
  <si>
    <t>适配于NCV63的所有版本及NCV65</t>
    <phoneticPr fontId="18" type="noConversion"/>
  </si>
  <si>
    <t>适配于NCV6.1与NCV6.3版本及NCV65版本</t>
    <phoneticPr fontId="5" type="noConversion"/>
  </si>
  <si>
    <t>适配于NCV6.1与NCV6.33版本及NCV65版本</t>
    <phoneticPr fontId="5" type="noConversion"/>
  </si>
  <si>
    <t>适配于NCV6的所有版本及NCV65</t>
    <phoneticPr fontId="5" type="noConversion"/>
  </si>
  <si>
    <t>适配于NCV6.31及以后版本及NCV65</t>
    <phoneticPr fontId="5" type="noConversion"/>
  </si>
  <si>
    <t>适配于NCV6.33及以上版本及NCV65</t>
    <phoneticPr fontId="5" type="noConversion"/>
  </si>
  <si>
    <t>选购预算Excel端必须选购全面预算或费用预算。</t>
    <phoneticPr fontId="5" type="noConversion"/>
  </si>
  <si>
    <t>电子销售</t>
    <phoneticPr fontId="5" type="noConversion"/>
  </si>
  <si>
    <t>项目名称</t>
    <phoneticPr fontId="6" type="noConversion"/>
  </si>
  <si>
    <t>选择与否</t>
    <phoneticPr fontId="6" type="noConversion"/>
  </si>
  <si>
    <t>报价明细表</t>
    <phoneticPr fontId="6" type="noConversion"/>
  </si>
  <si>
    <t>标准报价（万元）</t>
    <phoneticPr fontId="6" type="noConversion"/>
  </si>
  <si>
    <t>-</t>
    <phoneticPr fontId="5" type="noConversion"/>
  </si>
  <si>
    <t xml:space="preserve">    注册用户报价</t>
    <phoneticPr fontId="5" type="noConversion"/>
  </si>
  <si>
    <t xml:space="preserve">    并发报价</t>
    <phoneticPr fontId="5" type="noConversion"/>
  </si>
  <si>
    <t xml:space="preserve">    银行接口报价</t>
    <phoneticPr fontId="5" type="noConversion"/>
  </si>
  <si>
    <t xml:space="preserve">    APPV6移动应用租赁报价</t>
    <phoneticPr fontId="5" type="noConversion"/>
  </si>
  <si>
    <t>支持服务报价</t>
    <phoneticPr fontId="6" type="noConversion"/>
  </si>
  <si>
    <t xml:space="preserve">  产品支持服务报价</t>
    <phoneticPr fontId="6" type="noConversion"/>
  </si>
  <si>
    <t xml:space="preserve">  高级产品支持服务报价</t>
    <phoneticPr fontId="5" type="noConversion"/>
  </si>
  <si>
    <t xml:space="preserve">  系统运维服务报价</t>
    <phoneticPr fontId="6" type="noConversion"/>
  </si>
  <si>
    <t>实施报价</t>
    <phoneticPr fontId="6" type="noConversion"/>
  </si>
  <si>
    <t xml:space="preserve">   实施报价</t>
    <phoneticPr fontId="5" type="noConversion"/>
  </si>
  <si>
    <t>实施报价</t>
    <phoneticPr fontId="5" type="noConversion"/>
  </si>
  <si>
    <t>客开报价</t>
    <phoneticPr fontId="6" type="noConversion"/>
  </si>
  <si>
    <t xml:space="preserve">  客开报价</t>
    <phoneticPr fontId="6" type="noConversion"/>
  </si>
  <si>
    <t>客开报价</t>
    <phoneticPr fontId="5" type="noConversion"/>
  </si>
  <si>
    <t>ORACLE数据库报价</t>
    <phoneticPr fontId="6" type="noConversion"/>
  </si>
  <si>
    <t xml:space="preserve">  ORACLE数据库报价</t>
    <phoneticPr fontId="6" type="noConversion"/>
  </si>
  <si>
    <t>Oracle数据库</t>
    <phoneticPr fontId="5" type="noConversion"/>
  </si>
  <si>
    <t>总计</t>
    <phoneticPr fontId="6" type="noConversion"/>
  </si>
  <si>
    <t xml:space="preserve">说明：
1）报价金额单位：人民币/万元。   
</t>
    <phoneticPr fontId="6" type="noConversion"/>
  </si>
  <si>
    <t>内控手册管理</t>
  </si>
  <si>
    <t>银行接口报价</t>
    <phoneticPr fontId="5" type="noConversion"/>
  </si>
  <si>
    <t>YONYOU NC 实施报价</t>
    <phoneticPr fontId="6" type="noConversion"/>
  </si>
  <si>
    <t>填写说明：
1、C列绿色填充的“选择与否”单元列表是留下来填写选配组件的选择（与产品报价一致），如果选择则填写Y，否则为N；
2、模块组与模块的实施人天报价，主要前提是：同城，同业态，单帐套，≤10家公司。结合影响因素，一同构成整体项目报价；
3、本工具结合了“关联模块说明”，进行了设置，操作时，系统默认会将关联模块进行自动勾选。
4、单位：元/人天</t>
    <phoneticPr fontId="6" type="noConversion"/>
  </si>
  <si>
    <t>顾问级别</t>
    <phoneticPr fontId="6" type="noConversion"/>
  </si>
  <si>
    <t>单位</t>
    <phoneticPr fontId="6" type="noConversion"/>
  </si>
  <si>
    <t>标准单价</t>
    <phoneticPr fontId="6" type="noConversion"/>
  </si>
  <si>
    <t>专   家</t>
  </si>
  <si>
    <t>元/人天</t>
    <phoneticPr fontId="6" type="noConversion"/>
  </si>
  <si>
    <t>项目经理</t>
  </si>
  <si>
    <t>高级顾问</t>
    <phoneticPr fontId="6" type="noConversion"/>
  </si>
  <si>
    <t>实施顾问</t>
  </si>
  <si>
    <t>开发/技术工程师</t>
    <phoneticPr fontId="6" type="noConversion"/>
  </si>
  <si>
    <t>业务类别</t>
    <phoneticPr fontId="6" type="noConversion"/>
  </si>
  <si>
    <t>模块组</t>
    <phoneticPr fontId="6" type="noConversion"/>
  </si>
  <si>
    <t>模块
同城，同业态，单帐套，
≤10家公司</t>
    <phoneticPr fontId="6" type="noConversion"/>
  </si>
  <si>
    <t>选择与否</t>
  </si>
  <si>
    <t>标准模块及公共部分实施人天</t>
  </si>
  <si>
    <t>标准报价
(实施人天*标准单价)</t>
    <phoneticPr fontId="6" type="noConversion"/>
  </si>
  <si>
    <t>可选数量</t>
    <phoneticPr fontId="6" type="noConversion"/>
  </si>
  <si>
    <t>含自定义报表数</t>
    <phoneticPr fontId="6" type="noConversion"/>
  </si>
  <si>
    <t>关联模块说明</t>
    <phoneticPr fontId="6" type="noConversion"/>
  </si>
  <si>
    <t>专家</t>
    <phoneticPr fontId="6" type="noConversion"/>
  </si>
  <si>
    <t>实施顾问</t>
    <phoneticPr fontId="6" type="noConversion"/>
  </si>
  <si>
    <t>小计人天</t>
    <phoneticPr fontId="77" type="noConversion"/>
  </si>
  <si>
    <t>中间件</t>
    <phoneticPr fontId="77" type="noConversion"/>
  </si>
  <si>
    <t>中间件</t>
  </si>
  <si>
    <t xml:space="preserve">  WAS中间件</t>
  </si>
  <si>
    <t>N</t>
  </si>
  <si>
    <t>1、WAS许可数为所有产品领域许可数之和；
2、供应商门户、经销商门户、企业协同管理均按照10：1的比例折算计入WAS许可数；
3、动态建模平台、应用管理平台、配置开发平台、应用集成平台、总账多账簿、固定资产多账簿、电子签章均不计WAS许可数；
4、产品领域许可数折算成中间件许可数在100个以内，建议使用用友中间件，而不使用WAS中间件；产品领域许可数折算成WAS许可数在100个以上，则必须使用WAS中间件。</t>
  </si>
  <si>
    <t>合计</t>
    <phoneticPr fontId="77" type="noConversion"/>
  </si>
  <si>
    <t>UAP</t>
    <phoneticPr fontId="77" type="noConversion"/>
  </si>
  <si>
    <t>动态建模平台</t>
  </si>
  <si>
    <t>1、动态建模平台是必须购买的产品；
2、但是只购买ESB、YONYOU AE，可以不依赖于动态建模平台。</t>
  </si>
  <si>
    <t>小计</t>
    <phoneticPr fontId="77" type="noConversion"/>
  </si>
  <si>
    <t>应用管理平台</t>
  </si>
  <si>
    <t>NMC智能监控</t>
  </si>
  <si>
    <t>1、许可是指CPU数量；
2、模块价已包含4个CPU数量；
3、在“许可数”栏目中填写的数量是指4个以上的加购数量，比如：需要购买6个CPU数量，在“许可数”栏目中填写2即可。</t>
  </si>
  <si>
    <t>开发配置工具</t>
  </si>
  <si>
    <t>1、许可数不得小于2个；
2、其中的开发配置工具和实施工具是项目实施中极有可能用到的功能，所以建议购买。</t>
  </si>
  <si>
    <t>应用资产管理</t>
  </si>
  <si>
    <t>实施工具</t>
  </si>
  <si>
    <t>配置开发平台</t>
  </si>
  <si>
    <t>报表平台</t>
  </si>
  <si>
    <t>1、许可是指新增自定义报表的数量单位，每个许可包含100张自定义报表数量；
2、模块价中已包含2个许可，即200张自定义报表；
3、在“许可数”栏目中填写的数量是指2个以上的自定义报表数量单位，比如：需要购买400张自定义报表，在“许可数”栏目中填写2即可；
4、报表平台是为自定义报表的实现提供了定制平台；自定义报表的具体实现，需由客户自行定制或者委托实施服务人员帮助定制。</t>
  </si>
  <si>
    <t>计划平台</t>
  </si>
  <si>
    <t>1、许可数不得小于2个。</t>
  </si>
  <si>
    <t>测试用例管理</t>
  </si>
  <si>
    <t>配置开发工具</t>
  </si>
  <si>
    <t>应用集成平台</t>
  </si>
  <si>
    <t>ESB Express</t>
  </si>
  <si>
    <t>1、许可是指CPU数量；
2、模块价中已包含有2个CPU数量；
3、在“许可数”栏目中填写的数量是指2个以上的加购数量，比如：需要购买4个CPU数量，在“许可数”栏目中填写2即可。</t>
  </si>
  <si>
    <t>ESB</t>
  </si>
  <si>
    <t>1、UFIDA AE可不依赖于动态建模平台；
2、许可是指CPU数量；
3、模块价中已包含有2个CPU数量；
4、在“许可数”栏目中填写的数量是指2个以上的加购数量，比如：需要购买4个CPU数量，在“许可数”栏目中填写2即可。</t>
  </si>
  <si>
    <t>分布系统管理</t>
  </si>
  <si>
    <t>1、许可是指分布部署的集团数量；
2、模块价中已包含有2个集团，即一个母集团和一个子集团；
3、在“许可数”栏目中填写的数量是指2个以上的加购数量，比如：需要分布部署5个集团（1个母集团和4个子集团），在“许可数”栏目中填写3即可。</t>
  </si>
  <si>
    <t>YONYOU AE</t>
  </si>
  <si>
    <t>1、YONYOU AE可不依赖于动态建模平台；
2、许可是指CPU数量；
3、模块价中已包含有2个CPU数量；
4、在“许可数”栏目中填写的数量是指2个以上的加购数量，比如：需要购买4个CPU数量，在“许可数”栏目中填写2即可；
5、购买商业分析中的商业分析平台，则默认包括YONYOU AE，但仅限于2个CPU数量，不需要再单独购买YONYOU AE。</t>
  </si>
  <si>
    <t>企业PORTAL开发</t>
  </si>
  <si>
    <t>合计</t>
    <phoneticPr fontId="6" type="noConversion"/>
  </si>
  <si>
    <t>标准产品</t>
    <phoneticPr fontId="77" type="noConversion"/>
  </si>
  <si>
    <t>商业分析</t>
  </si>
  <si>
    <t>商业分析平台</t>
  </si>
  <si>
    <t xml:space="preserve">1、许可数不得小于5个；
2、购买商业分析中的商业分析平台，则默认包括YONYOU AE，但仅限于2个CPU数量，不需要再单独购买YONYOU AE；
3、如需将商业分析结果发布至PORTAL门户或者IPAD等移动终端，则必须购买商业分析门户；
4、如选购商业分析门户模块，必须依赖于商业分析平台模块；
5、如选购财务分析模块，必须依赖于商业分析平台；
6、如选购资金分析模块，必须依赖于商业分析平台；
7、财务分析已预置总账数据分析，数据来自总账模块，需要购买总账模块，总账数据分析报表才能使用；
8、资金分析已预置银行活期存款分析，数据来自银企直联模块，需要购买银企直联模块，活期存款分析报表才能使用。
</t>
  </si>
  <si>
    <t>商业分析门户</t>
  </si>
  <si>
    <t>财务分析</t>
  </si>
  <si>
    <t>资金分析</t>
  </si>
  <si>
    <t>战略管理</t>
    <phoneticPr fontId="6" type="noConversion"/>
  </si>
  <si>
    <t>全面预算</t>
  </si>
  <si>
    <t>1、战略管理许可数不得小于5个；
2、如选购全面预算模块，必须依赖于计划平台模块；
3、如选购合并报表模块，必须依赖于企业报表模块；
4、如选购合并账簿模块，必须依赖于总账模块。</t>
  </si>
  <si>
    <t>企业报表</t>
  </si>
  <si>
    <t>合并报表</t>
  </si>
  <si>
    <t>合并账簿</t>
  </si>
  <si>
    <t>财务会计</t>
  </si>
  <si>
    <t>总账</t>
  </si>
  <si>
    <t>1、许可数不得小于5个；
2、如选购费用预算模块，必须依赖于计划平台模块；
3、如选购税务管理模块，必须依赖于总账模块
4、如选购欧盟VAT报表模块，必须依赖于总账模块。</t>
    <phoneticPr fontId="77" type="noConversion"/>
  </si>
  <si>
    <t>应收管理</t>
  </si>
  <si>
    <t>应付管理</t>
  </si>
  <si>
    <t>报销管理</t>
  </si>
  <si>
    <t>存货核算</t>
  </si>
  <si>
    <t>费用预算</t>
  </si>
  <si>
    <t>财务预算</t>
    <phoneticPr fontId="6" type="noConversion"/>
  </si>
  <si>
    <t>税务管理</t>
  </si>
  <si>
    <t>欧盟VAT报表</t>
  </si>
  <si>
    <t>总账多账簿</t>
  </si>
  <si>
    <t>1、如选购总账多账簿，必须依赖于总账模块。</t>
  </si>
  <si>
    <t>固定资产多账簿</t>
  </si>
  <si>
    <t>1、如选购固定资产多账簿，必须依赖于固定资产模块。</t>
  </si>
  <si>
    <t>管理会计</t>
  </si>
  <si>
    <t>利润中心会计</t>
  </si>
  <si>
    <t>1、许可数不得小于2个；
2、如选购产品成本模块，必须依赖于工程基础数据模块。</t>
  </si>
  <si>
    <t xml:space="preserve"> 资金管理</t>
  </si>
  <si>
    <t>账户管理</t>
  </si>
  <si>
    <t>1、许可数不得小于5个；
2、如选购资金结算模块，必须依赖于现金管理模块；
3、如选购资金计划模块，必须依赖于计划平台模块；
4、如选购内部存款管理模块，必须依赖于资金结算模块；
5、如选购票据集中管理模块，必须依赖于商业汇票模块。</t>
    <phoneticPr fontId="77" type="noConversion"/>
  </si>
  <si>
    <t>现金管理</t>
  </si>
  <si>
    <t>银企直联</t>
  </si>
  <si>
    <t>付款排程</t>
  </si>
  <si>
    <t>商业汇票</t>
  </si>
  <si>
    <t>资金结算</t>
  </si>
  <si>
    <t>资金调度</t>
  </si>
  <si>
    <t>资金计划</t>
  </si>
  <si>
    <t>信用证管理</t>
  </si>
  <si>
    <t>银行授信管理</t>
  </si>
  <si>
    <t>银行存款管理</t>
  </si>
  <si>
    <t>银行借款管理</t>
  </si>
  <si>
    <t>担保管理</t>
  </si>
  <si>
    <t>内部存款管理</t>
  </si>
  <si>
    <t>内部贷款管理</t>
  </si>
  <si>
    <t>票据集中管理</t>
    <phoneticPr fontId="77" type="noConversion"/>
  </si>
  <si>
    <t>电子签章</t>
  </si>
  <si>
    <t>供应链</t>
  </si>
  <si>
    <t>合同管理</t>
  </si>
  <si>
    <t>1、许可数不得小于5个；
2、如选购采购计划模块，必须依赖于计划平台模块、采购管理模块；
3、如选购采购管理模块，必须依赖于库存管理模块；
4、如选购采购价格模块，必须依赖于采购管理模块；
5、如选购委外加工模块，必须依赖于采购管理模块；
6、如选购库存计划模块，必须依赖于库存管理模块；
7、如选购销售信用模块，必须依赖于销售管理模块、应收管理模块；
8、如选购内部交易模块，必须依赖于库存管理模块。</t>
  </si>
  <si>
    <t>采购计划</t>
  </si>
  <si>
    <t>采购价格</t>
  </si>
  <si>
    <t>委外加工</t>
  </si>
  <si>
    <t>库存计划</t>
  </si>
  <si>
    <t>销售管理</t>
  </si>
  <si>
    <t>销售价格</t>
  </si>
  <si>
    <t>销售信用</t>
  </si>
  <si>
    <t>内部交易</t>
  </si>
  <si>
    <t>运输管理</t>
  </si>
  <si>
    <t>质量管理</t>
  </si>
  <si>
    <t>电子商务</t>
  </si>
  <si>
    <t>电子采购</t>
  </si>
  <si>
    <t>供应商门户</t>
  </si>
  <si>
    <t>1、许可是指有效的注册供应商数；
2、许可数不得小于10个；
3、如选购供应商门户模块，必须依赖于电子采购模块。</t>
  </si>
  <si>
    <t xml:space="preserve">1、许可数不得小于2个；
2、电子销售与订单处理中心模块必须同时购买。
</t>
  </si>
  <si>
    <t>订单处理中心</t>
  </si>
  <si>
    <t>经销商门户</t>
  </si>
  <si>
    <t>1、许可是指有效的注册经销商数；
2、许可数不得小于10个；
3、如选购经销商门户模块，必须依赖于电子销售、订单处理中心模块。</t>
  </si>
  <si>
    <t>生产制造</t>
  </si>
  <si>
    <t>工程基础数据</t>
    <phoneticPr fontId="77" type="noConversion"/>
  </si>
  <si>
    <t>1、许可数不得小于5个；
2、如选购销售运营计划模块，必须依赖于工程基础数据、生产任务管理、需求计划模块；
3、如选购需求计划模块，必须依赖于工程基础数据、生产任务管理模块；
4、如选购主生产计划模块，必须依赖于工程基础数据、生产任务管理模块；
5、如选购物料需求计划模块，必须依赖于工程基础数据、生产任务管理模块；
6、如选购排产管理模块，必须依赖于工程基础数据、生产任务管理、主生产计划、物料需求计划模块；
7、如选购生产任务管理模块，必须依赖于库存管理模块。</t>
    <phoneticPr fontId="77" type="noConversion"/>
  </si>
  <si>
    <t>销售运营计划</t>
  </si>
  <si>
    <t>需求计划</t>
  </si>
  <si>
    <t>主生产计划</t>
  </si>
  <si>
    <t>物料需求计划</t>
  </si>
  <si>
    <t>排产管理</t>
  </si>
  <si>
    <r>
      <t>生产任务管理</t>
    </r>
    <r>
      <rPr>
        <sz val="11"/>
        <color theme="1"/>
        <rFont val="宋体"/>
        <family val="3"/>
        <charset val="134"/>
      </rPr>
      <t xml:space="preserve">   </t>
    </r>
  </si>
  <si>
    <t>资产管理</t>
  </si>
  <si>
    <t>资产信息管理</t>
  </si>
  <si>
    <t>1、许可数不得小于5个；
2、如选购资产使用管理模块，必须依赖于资产信息管理模块；
3、如选购资产租赁管理模块，必须依赖于资产信息管理模块；
4、如选购运行管理模块，必须依赖于资产信息管理模块；
5、如选购维护管理模块，必须依赖于资产信息管理模块；
6、如选购维修管理模块，必须依赖于资产信息管理模块。</t>
  </si>
  <si>
    <t>资产使用管理</t>
  </si>
  <si>
    <t>资产租赁管理</t>
  </si>
  <si>
    <t>运行管理</t>
  </si>
  <si>
    <t>维护管理</t>
  </si>
  <si>
    <t>维修管理</t>
  </si>
  <si>
    <t>易耗品管理</t>
  </si>
  <si>
    <t>周转材租出管理</t>
  </si>
  <si>
    <t>周转材租入管理</t>
  </si>
  <si>
    <t>项目管理</t>
  </si>
  <si>
    <t>项目过程管理</t>
    <phoneticPr fontId="77" type="noConversion"/>
  </si>
  <si>
    <t>1、许可数不得小于5个；
2、如选购项目管理合同模块，必须依赖于项目过程管理模块。</t>
  </si>
  <si>
    <t>项目合同管理</t>
  </si>
  <si>
    <t>企业治理</t>
  </si>
  <si>
    <t>风险管理</t>
  </si>
  <si>
    <t>1、许可数不得小于2个；
2、如选购风险管理模块，必须依赖于内控手册管理模块；
3、如选购评价及改进模块，必须依赖于内控手册管理模块。</t>
  </si>
  <si>
    <t>IT监控及报告</t>
  </si>
  <si>
    <t>评价及改进</t>
  </si>
  <si>
    <t>人力资本</t>
  </si>
  <si>
    <t>薪酬管理</t>
  </si>
  <si>
    <t>1、许可数不得小于5个；
2、组织机构管理、人员信息管理、人员变动管理三个模块为必须同时购买的模块；
3、如选购薪酬管理模块，必须依赖于组织机构管理、人员信息管理、人员变动管理模块；
4、如选购人员合同管理模块，必须依赖于组织机构管理、人员信息管理、人员变动管理模块；
5、如选购人力资本规划模块，必须依赖于组织机构管理、人员信息管理、人员变动管理模块；
6、如选购社保福利模块，必须依赖于组织机构管理、人员信息管理、人员变动管理模块；
7、如选购时间管理模块，必须依赖于组织机构管理、人员信息管理、人员变动管理模块；
8、如选购招聘管理模块，必须依赖于组织机构管理、人员信息管理、人员变动管理模块；
9、如选购绩效管理模块，必须依赖于组织机构管理、人员信息管理、人员变动管理模块；
10、如选购能力素质管理模块，必须依赖于组织机构管理、人员信息管理、人员变动管理模块。</t>
    <phoneticPr fontId="77" type="noConversion"/>
  </si>
  <si>
    <t>组织机构管理</t>
  </si>
  <si>
    <t>人员信息管理</t>
  </si>
  <si>
    <t>人员变动管理</t>
  </si>
  <si>
    <t>人员合同管理</t>
  </si>
  <si>
    <t>人力资本规划</t>
    <phoneticPr fontId="77" type="noConversion"/>
  </si>
  <si>
    <t>社保福利</t>
  </si>
  <si>
    <t>时间管理</t>
  </si>
  <si>
    <t>招聘管理</t>
  </si>
  <si>
    <t>绩效管理</t>
  </si>
  <si>
    <t>能力素质管理</t>
  </si>
  <si>
    <t>HR分析报表</t>
  </si>
  <si>
    <t>1、许可数不得小于2个；
2、如选购HR分析报表模块，必须依赖于组织机构管理、人员信息管理、人员变动管理模块。</t>
    <phoneticPr fontId="77" type="noConversion"/>
  </si>
  <si>
    <t>协同报销</t>
    <phoneticPr fontId="6" type="noConversion"/>
  </si>
  <si>
    <t>网上报销</t>
  </si>
  <si>
    <t>1、许可是指注册自助用户数；
2、许可数不得小于50个；
3、如选购网上报销模块，必须依赖于报销管理模块。</t>
  </si>
  <si>
    <t>员工自助</t>
  </si>
  <si>
    <t>1、许可是指注册自助用户数；
2、许可数不得小于50个；
3、如选购员工自助或经理自助模块，必须依赖于组织结构管理、人员信息管理、人员变动管理模块。</t>
  </si>
  <si>
    <t>经理自助</t>
  </si>
  <si>
    <t>企业协同管理</t>
  </si>
  <si>
    <t>个人办公</t>
  </si>
  <si>
    <t>1、许可是指注册自助用户数；
2、许可数不得小于50个；
3、如选购个人办公模块，必须依赖于信息交流模块；
4、如选购信息发布模块，必须依赖于信息交流模块；
5、如选购公文管理模块，必须依赖于信息交流模块；
6、如选购文档管理模块，必须依赖于信息交流模块；
7、如选购会议管理模块，必须依赖于信息交流模块。</t>
  </si>
  <si>
    <t>信息交流</t>
  </si>
  <si>
    <t>信息发布</t>
  </si>
  <si>
    <t>会议管理</t>
  </si>
  <si>
    <t>自由表单</t>
  </si>
  <si>
    <t>1、自由表单是提供了系统定制平台；自由表单的具体实现，需要由客户自行定制或者委托实施服务人员帮助定制；
2、如选购自由表单模块，必须依赖于企业PORTAL开发模块。</t>
  </si>
  <si>
    <t>总计</t>
    <phoneticPr fontId="77" type="noConversion"/>
  </si>
  <si>
    <t>特殊情况调整</t>
    <phoneticPr fontId="6" type="noConversion"/>
  </si>
  <si>
    <t>分类</t>
    <phoneticPr fontId="6" type="noConversion"/>
  </si>
  <si>
    <t>影响指标</t>
    <phoneticPr fontId="6" type="noConversion"/>
  </si>
  <si>
    <t>是否选择</t>
    <phoneticPr fontId="6" type="noConversion"/>
  </si>
  <si>
    <t>系数参考值</t>
    <phoneticPr fontId="6" type="noConversion"/>
  </si>
  <si>
    <t>自动生成值</t>
    <phoneticPr fontId="6" type="noConversion"/>
  </si>
  <si>
    <t>说明</t>
    <phoneticPr fontId="6" type="noConversion"/>
  </si>
  <si>
    <t>客户业态与组织规模</t>
    <phoneticPr fontId="6" type="noConversion"/>
  </si>
  <si>
    <t>集团管控-财务核算</t>
    <phoneticPr fontId="6" type="noConversion"/>
  </si>
  <si>
    <t>业态（超过20个业态的单独评估）</t>
    <phoneticPr fontId="6" type="noConversion"/>
  </si>
  <si>
    <t>业态≤5个</t>
    <phoneticPr fontId="6" type="noConversion"/>
  </si>
  <si>
    <t>Y</t>
  </si>
  <si>
    <t>仅影响集团管控部分（包括财务核算）人天增加</t>
    <phoneticPr fontId="6" type="noConversion"/>
  </si>
  <si>
    <t>集团管控-财务核算-业态：可以都选N，但是只能选一个Y</t>
    <phoneticPr fontId="6" type="noConversion"/>
  </si>
  <si>
    <t>5个＜业态≤10个</t>
    <phoneticPr fontId="6" type="noConversion"/>
  </si>
  <si>
    <t>10个＜业态≤20个</t>
    <phoneticPr fontId="6" type="noConversion"/>
  </si>
  <si>
    <t>组织数（基于一个集团，多集团或下属组织超过100个公司的需要单独评估）</t>
    <phoneticPr fontId="6" type="noConversion"/>
  </si>
  <si>
    <t>组织数≤30个</t>
    <phoneticPr fontId="6" type="noConversion"/>
  </si>
  <si>
    <t>集团管控-财务核算-集团或公司数：可以都选N，但是只能选一个Y</t>
    <phoneticPr fontId="6" type="noConversion"/>
  </si>
  <si>
    <t>30个＜组织数≤60个</t>
    <phoneticPr fontId="6" type="noConversion"/>
  </si>
  <si>
    <t>60个＜组织数≤100个</t>
    <phoneticPr fontId="6" type="noConversion"/>
  </si>
  <si>
    <t>集团管控-资金</t>
    <phoneticPr fontId="6" type="noConversion"/>
  </si>
  <si>
    <t>资金管理模式</t>
    <phoneticPr fontId="6" type="noConversion"/>
  </si>
  <si>
    <t>单一结算中心</t>
    <phoneticPr fontId="6" type="noConversion"/>
  </si>
  <si>
    <t>仅影响集团管控部分（资金管理）人天增加</t>
    <phoneticPr fontId="6" type="noConversion"/>
  </si>
  <si>
    <t>集团管控-资金-资金管理模式：可以都选N，但是只能选一个Y</t>
    <phoneticPr fontId="6" type="noConversion"/>
  </si>
  <si>
    <t>财务公司</t>
    <phoneticPr fontId="6" type="noConversion"/>
  </si>
  <si>
    <t>组织数≤20个</t>
    <phoneticPr fontId="6" type="noConversion"/>
  </si>
  <si>
    <t>集团管控-资金-集团或公司数：可以都选N，但是只能选一个Y</t>
    <phoneticPr fontId="6" type="noConversion"/>
  </si>
  <si>
    <t>20个＜组织数≤50个</t>
    <phoneticPr fontId="6" type="noConversion"/>
  </si>
  <si>
    <t>50个＜组织数≤100个</t>
    <phoneticPr fontId="6" type="noConversion"/>
  </si>
  <si>
    <t>集团管控-合并报表</t>
    <phoneticPr fontId="6" type="noConversion"/>
  </si>
  <si>
    <t>业态（超过10个业态的单独评估）</t>
    <phoneticPr fontId="6" type="noConversion"/>
  </si>
  <si>
    <t>1个业态</t>
    <phoneticPr fontId="6" type="noConversion"/>
  </si>
  <si>
    <t>仅影响集团管控部分（合并报表）人天增加</t>
    <phoneticPr fontId="6" type="noConversion"/>
  </si>
  <si>
    <t>集团管控-合并报表-业态：可以都选N，但是只能选一个Y</t>
    <phoneticPr fontId="6" type="noConversion"/>
  </si>
  <si>
    <t>2个≤业态≤5个</t>
    <phoneticPr fontId="6" type="noConversion"/>
  </si>
  <si>
    <t>5个≤业态≤10个</t>
    <phoneticPr fontId="6" type="noConversion"/>
  </si>
  <si>
    <t>组织数（基于一个集团，多集团或下属组织超过50个公司的需要单独评估）</t>
    <phoneticPr fontId="6" type="noConversion"/>
  </si>
  <si>
    <t>组织数≤10个</t>
    <phoneticPr fontId="6" type="noConversion"/>
  </si>
  <si>
    <t>集团管控-合并报表-集团或公司数：可以都选N，但是只能选一个Y</t>
    <phoneticPr fontId="6" type="noConversion"/>
  </si>
  <si>
    <t>10个＜组织数≤20个</t>
    <phoneticPr fontId="6" type="noConversion"/>
  </si>
  <si>
    <t>集团管控-预算</t>
    <phoneticPr fontId="6" type="noConversion"/>
  </si>
  <si>
    <t>预算模式</t>
    <phoneticPr fontId="6" type="noConversion"/>
  </si>
  <si>
    <t>仅影响集团管控部分（预算管理）人天增加</t>
    <phoneticPr fontId="6" type="noConversion"/>
  </si>
  <si>
    <t>集团管控-预算：可以都选N，但【财务预算】【全面预算】只能选一个Y，【多预算模型】不作限制</t>
    <phoneticPr fontId="6" type="noConversion"/>
  </si>
  <si>
    <t>多预算模型</t>
    <phoneticPr fontId="6" type="noConversion"/>
  </si>
  <si>
    <t>注：多预算模型与全面预算累加</t>
    <phoneticPr fontId="77" type="noConversion"/>
  </si>
  <si>
    <t>业态(超过10个业态的需单独评估）</t>
    <phoneticPr fontId="6" type="noConversion"/>
  </si>
  <si>
    <t>集团管控-利润中心</t>
    <phoneticPr fontId="6" type="noConversion"/>
  </si>
  <si>
    <t>维度（超过3个维度的需要单独评估）</t>
    <phoneticPr fontId="6" type="noConversion"/>
  </si>
  <si>
    <t>维度≤2个</t>
    <phoneticPr fontId="6" type="noConversion"/>
  </si>
  <si>
    <t>仅影响集团管控部分（利润中心）人天增加</t>
    <phoneticPr fontId="6" type="noConversion"/>
  </si>
  <si>
    <t>集团管控-利润中心：可以都选N，但是只能选一个Y</t>
    <phoneticPr fontId="6" type="noConversion"/>
  </si>
  <si>
    <t>3个≤维度</t>
    <phoneticPr fontId="6" type="noConversion"/>
  </si>
  <si>
    <t>集团管控-HR</t>
    <phoneticPr fontId="6" type="noConversion"/>
  </si>
  <si>
    <t>仅影响集团管控部分（HR）人天增加</t>
    <phoneticPr fontId="6" type="noConversion"/>
  </si>
  <si>
    <t>集团管控-HR：可以都选N，但是只能选一个Y</t>
    <phoneticPr fontId="6" type="noConversion"/>
  </si>
  <si>
    <t>可以都选N，但是只能选一个Y</t>
    <phoneticPr fontId="6" type="noConversion"/>
  </si>
  <si>
    <t>公司人数</t>
    <phoneticPr fontId="6" type="noConversion"/>
  </si>
  <si>
    <t>≤1000人</t>
    <phoneticPr fontId="6" type="noConversion"/>
  </si>
  <si>
    <t>1000-5000人</t>
    <phoneticPr fontId="6" type="noConversion"/>
  </si>
  <si>
    <t>5000-10000人</t>
    <phoneticPr fontId="6" type="noConversion"/>
  </si>
  <si>
    <t>&gt;10000人</t>
    <phoneticPr fontId="6" type="noConversion"/>
  </si>
  <si>
    <t>流通和制造</t>
    <phoneticPr fontId="6" type="noConversion"/>
  </si>
  <si>
    <t>仅影响流通和制造人天增加</t>
    <phoneticPr fontId="6" type="noConversion"/>
  </si>
  <si>
    <t>流通和制造-业态：可以都选N，但是只能选一个Y</t>
    <phoneticPr fontId="6" type="noConversion"/>
  </si>
  <si>
    <t>基本情况</t>
    <phoneticPr fontId="6" type="noConversion"/>
  </si>
  <si>
    <t>流通和制造-公司数量：可以都选N，但是只能选一个Y</t>
    <phoneticPr fontId="6" type="noConversion"/>
  </si>
  <si>
    <t>中等规模</t>
    <phoneticPr fontId="6" type="noConversion"/>
  </si>
  <si>
    <t>大规模</t>
    <phoneticPr fontId="6" type="noConversion"/>
  </si>
  <si>
    <t>实施策略</t>
    <phoneticPr fontId="6" type="noConversion"/>
  </si>
  <si>
    <t>实施方法</t>
    <phoneticPr fontId="6" type="noConversion"/>
  </si>
  <si>
    <t>加速实施方法（基于最佳实践的快速实施）</t>
    <phoneticPr fontId="6" type="noConversion"/>
  </si>
  <si>
    <t>实施方法：必须有且只有一个Y</t>
    <phoneticPr fontId="6" type="noConversion"/>
  </si>
  <si>
    <t>标准实施方法（标准ERP实施）</t>
    <phoneticPr fontId="6" type="noConversion"/>
  </si>
  <si>
    <t>咨询实施方法（咨询式实施）</t>
    <phoneticPr fontId="6" type="noConversion"/>
  </si>
  <si>
    <t>客户化开发方法</t>
    <phoneticPr fontId="6" type="noConversion"/>
  </si>
  <si>
    <t>需单独评估</t>
    <phoneticPr fontId="6" type="noConversion"/>
  </si>
  <si>
    <t>推广策略</t>
    <phoneticPr fontId="6" type="noConversion"/>
  </si>
  <si>
    <t>系统一次性上线实施完成</t>
    <phoneticPr fontId="6" type="noConversion"/>
  </si>
  <si>
    <t>评估结果适用以我方推广为主</t>
    <phoneticPr fontId="6" type="noConversion"/>
  </si>
  <si>
    <t>推广策略：必须有且只有一个Y</t>
    <phoneticPr fontId="6" type="noConversion"/>
  </si>
  <si>
    <t>试点，推广合计2阶段完成</t>
    <phoneticPr fontId="6" type="noConversion"/>
  </si>
  <si>
    <t>试点，推广阶段超过3阶段完成</t>
    <phoneticPr fontId="6" type="noConversion"/>
  </si>
  <si>
    <t>紧急程度</t>
    <phoneticPr fontId="6" type="noConversion"/>
  </si>
  <si>
    <t>加急项目</t>
    <phoneticPr fontId="6" type="noConversion"/>
  </si>
  <si>
    <t>来自客户方要求，工期紧张，需要增加顾问资源投入</t>
    <phoneticPr fontId="6" type="noConversion"/>
  </si>
  <si>
    <t>紧急程度：必须有且只有一个Y</t>
    <phoneticPr fontId="6" type="noConversion"/>
  </si>
  <si>
    <t>合理工期</t>
    <phoneticPr fontId="6" type="noConversion"/>
  </si>
  <si>
    <t>单、并轨运行</t>
    <phoneticPr fontId="6" type="noConversion"/>
  </si>
  <si>
    <t>单轨运行</t>
    <phoneticPr fontId="6" type="noConversion"/>
  </si>
  <si>
    <t>销售阶段，客户明确要求，新系统上线后，旧系统必须并行一段时间，这期间项目组将面临增加新旧系统数据核对的工作量，可能由于旧系统的持续运行导致客户无法有足够的精力运行新系统，导致新系统数据不准和运行不顺畅而下线的风险。</t>
    <phoneticPr fontId="6" type="noConversion"/>
  </si>
  <si>
    <t>单并轨运行，只能有一个Y</t>
    <phoneticPr fontId="6" type="noConversion"/>
  </si>
  <si>
    <t>新旧并轨运行</t>
    <phoneticPr fontId="6" type="noConversion"/>
  </si>
  <si>
    <t>多系统集成</t>
    <phoneticPr fontId="6" type="noConversion"/>
  </si>
  <si>
    <t>异构系统接口</t>
    <phoneticPr fontId="6" type="noConversion"/>
  </si>
  <si>
    <t>单独评审</t>
    <phoneticPr fontId="6" type="noConversion"/>
  </si>
  <si>
    <t>涉及多个异构系统的集成，将增大表单设计、数据提取等工作量。</t>
    <phoneticPr fontId="6" type="noConversion"/>
  </si>
  <si>
    <t>异构系统接口，只能有一个Y</t>
    <phoneticPr fontId="6" type="noConversion"/>
  </si>
  <si>
    <t>管理体系</t>
    <phoneticPr fontId="6" type="noConversion"/>
  </si>
  <si>
    <t>数据迁移</t>
    <phoneticPr fontId="6" type="noConversion"/>
  </si>
  <si>
    <t>涉及基础静态数据和动态单据数据迁移</t>
    <phoneticPr fontId="6" type="noConversion"/>
  </si>
  <si>
    <t>数据迁移，只能有一个Y</t>
    <phoneticPr fontId="6" type="noConversion"/>
  </si>
  <si>
    <t>基础数据</t>
    <phoneticPr fontId="6" type="noConversion"/>
  </si>
  <si>
    <t>数据管理成体系、准确、完整</t>
    <phoneticPr fontId="6" type="noConversion"/>
  </si>
  <si>
    <t>基础数据包括客户的静态数据、也包括客户的动态业务数据；尤其是客户的最基础的物料数据和物料清单数据的清晰度、完整度、准确度直接影响项目顾问人天工作量的投入。</t>
    <phoneticPr fontId="6" type="noConversion"/>
  </si>
  <si>
    <t>基础数据，只能有一个Y</t>
    <phoneticPr fontId="6" type="noConversion"/>
  </si>
  <si>
    <t>数据管理成体系但不准确</t>
    <phoneticPr fontId="6" type="noConversion"/>
  </si>
  <si>
    <t>数据零乱，无管理规章，需重新梳理</t>
    <phoneticPr fontId="6" type="noConversion"/>
  </si>
  <si>
    <t>业务流程</t>
    <phoneticPr fontId="6" type="noConversion"/>
  </si>
  <si>
    <t>客户业务流程成体系，流程清晰</t>
    <phoneticPr fontId="6" type="noConversion"/>
  </si>
  <si>
    <t>客户流程的完善度决定了是否需要花费顾问更多时间来梳理客户业务流程</t>
    <phoneticPr fontId="6" type="noConversion"/>
  </si>
  <si>
    <t>业务流程，只能有一个Y</t>
    <phoneticPr fontId="6" type="noConversion"/>
  </si>
  <si>
    <t>客户业务流程成体系，流程不清晰需完善</t>
    <phoneticPr fontId="6" type="noConversion"/>
  </si>
  <si>
    <t>客户无体系化流程，需要进行流程重构</t>
    <phoneticPr fontId="6" type="noConversion"/>
  </si>
  <si>
    <t>产品功能</t>
    <phoneticPr fontId="6" type="noConversion"/>
  </si>
  <si>
    <t>与需求的匹配程度</t>
    <phoneticPr fontId="6" type="noConversion"/>
  </si>
  <si>
    <t>标准产品功能以内交付</t>
    <phoneticPr fontId="6" type="noConversion"/>
  </si>
  <si>
    <t>产品与需求的匹配度包含：1、标准产品与客户需求的匹配度；2、已经付费的二次开发功能实现的可行性；3、新产品实施的资源保障程度；4、未付费的二次开发功能实现的难度与对整体项目的影响度。</t>
    <phoneticPr fontId="6" type="noConversion"/>
  </si>
  <si>
    <t>产品匹配度，只能有一个Y</t>
    <phoneticPr fontId="6" type="noConversion"/>
  </si>
  <si>
    <t>标准产品满足关键需求交付</t>
    <phoneticPr fontId="6" type="noConversion"/>
  </si>
  <si>
    <t>5%＜二次开发量≤10%</t>
    <phoneticPr fontId="6" type="noConversion"/>
  </si>
  <si>
    <t>10%＜二次开发量≤30%</t>
    <phoneticPr fontId="6" type="noConversion"/>
  </si>
  <si>
    <t>客户能力及配合程度</t>
    <phoneticPr fontId="6" type="noConversion"/>
  </si>
  <si>
    <t>配合程度</t>
    <phoneticPr fontId="6" type="noConversion"/>
  </si>
  <si>
    <t>实施过程可以按照实施方法论的分工原则执行</t>
    <phoneticPr fontId="6" type="noConversion"/>
  </si>
  <si>
    <t>客户配合程度：含客户高层的重视程度（参与度、是否亲自决策）、客户方项目经理人选的合理性、客户方投入项目的资源是否充分、项目任务完成的可能及时性等</t>
    <phoneticPr fontId="6" type="noConversion"/>
  </si>
  <si>
    <t>配合程度：必须有且只有一个Y</t>
    <phoneticPr fontId="6" type="noConversion"/>
  </si>
  <si>
    <t>客户配合程度低</t>
    <phoneticPr fontId="6" type="noConversion"/>
  </si>
  <si>
    <t>客户非常难以配合项目实施</t>
    <phoneticPr fontId="6" type="noConversion"/>
  </si>
  <si>
    <t>客户能力</t>
    <phoneticPr fontId="6" type="noConversion"/>
  </si>
  <si>
    <t>强</t>
    <phoneticPr fontId="6" type="noConversion"/>
  </si>
  <si>
    <t>正影响</t>
  </si>
  <si>
    <t>客户能力包含素质、IT团队、信息化基础、管理水平、执行力等。正负影响，影响人天正负10%</t>
    <phoneticPr fontId="6" type="noConversion"/>
  </si>
  <si>
    <t>客户能力：E列5个单元格，必须有且只有一个Y</t>
    <phoneticPr fontId="6" type="noConversion"/>
  </si>
  <si>
    <t>负影响</t>
    <phoneticPr fontId="6" type="noConversion"/>
  </si>
  <si>
    <t>中</t>
    <phoneticPr fontId="6" type="noConversion"/>
  </si>
  <si>
    <t>无影响</t>
    <phoneticPr fontId="6" type="noConversion"/>
  </si>
  <si>
    <t>低</t>
    <phoneticPr fontId="6" type="noConversion"/>
  </si>
  <si>
    <t>合同形式</t>
    <phoneticPr fontId="6" type="noConversion"/>
  </si>
  <si>
    <t>是否开口合同</t>
    <phoneticPr fontId="6" type="noConversion"/>
  </si>
  <si>
    <t>开口合同</t>
    <phoneticPr fontId="6" type="noConversion"/>
  </si>
  <si>
    <t>开口合同是指按人天报价，与客户结算，超出人天的部分，客户将另行支付人天费用，闭口合同是指是实施费包干的实施合同，超出人天的部分，客户不追加费用的合同。</t>
    <phoneticPr fontId="6" type="noConversion"/>
  </si>
  <si>
    <t>是否开口合同：必须有且只有一个Y</t>
    <phoneticPr fontId="6" type="noConversion"/>
  </si>
  <si>
    <t>闭口（全包）合同</t>
    <phoneticPr fontId="6" type="noConversion"/>
  </si>
  <si>
    <t>整个合同主模组（财务、资金、供应链、生产）只购买1个模块</t>
    <phoneticPr fontId="6" type="noConversion"/>
  </si>
  <si>
    <t>综合影响因素合计（作为系数）</t>
    <phoneticPr fontId="6" type="noConversion"/>
  </si>
  <si>
    <t>总体实施人天合计</t>
    <phoneticPr fontId="6" type="noConversion"/>
  </si>
  <si>
    <t>已选择模块合计</t>
    <phoneticPr fontId="6" type="noConversion"/>
  </si>
  <si>
    <t>累计人天</t>
    <phoneticPr fontId="6" type="noConversion"/>
  </si>
  <si>
    <t>系数调整后人天</t>
    <phoneticPr fontId="6" type="noConversion"/>
  </si>
  <si>
    <t>项目管理费用</t>
    <phoneticPr fontId="6" type="noConversion"/>
  </si>
  <si>
    <t>项目管理系数</t>
    <phoneticPr fontId="6" type="noConversion"/>
  </si>
  <si>
    <t>项目管理人天</t>
    <phoneticPr fontId="6" type="noConversion"/>
  </si>
  <si>
    <t>标准报价
(项目管理人天*标准单价)</t>
  </si>
  <si>
    <t>独立开发费用</t>
    <phoneticPr fontId="6" type="noConversion"/>
  </si>
  <si>
    <t>预计开发人天</t>
    <phoneticPr fontId="6" type="noConversion"/>
  </si>
  <si>
    <t>1、需要独立开发合同
2、开发人天评估参见《开发人天评估模板》</t>
    <phoneticPr fontId="6" type="noConversion"/>
  </si>
  <si>
    <t>标准报价
(项目预计开发人天*标准价)</t>
    <phoneticPr fontId="6" type="noConversion"/>
  </si>
  <si>
    <t>项目食宿交通费用</t>
    <phoneticPr fontId="6" type="noConversion"/>
  </si>
  <si>
    <t>预计出差天数</t>
    <phoneticPr fontId="6" type="noConversion"/>
  </si>
  <si>
    <t>一次往来交通费用</t>
    <phoneticPr fontId="6" type="noConversion"/>
  </si>
  <si>
    <t>交通费用</t>
    <phoneticPr fontId="6" type="noConversion"/>
  </si>
  <si>
    <t>根据实际情况填写</t>
    <phoneticPr fontId="6" type="noConversion"/>
  </si>
  <si>
    <t>食宿费用</t>
    <phoneticPr fontId="6" type="noConversion"/>
  </si>
  <si>
    <t>180——250，根据公司报销标准。是否客户承担，客户承担不参与计算。</t>
    <phoneticPr fontId="6" type="noConversion"/>
  </si>
  <si>
    <t>出差补贴</t>
    <phoneticPr fontId="6" type="noConversion"/>
  </si>
  <si>
    <t>根据公司补贴标准。</t>
    <phoneticPr fontId="6" type="noConversion"/>
  </si>
  <si>
    <t>合计</t>
    <phoneticPr fontId="6" type="noConversion"/>
  </si>
  <si>
    <t>最终项目建议人天及总额</t>
    <phoneticPr fontId="6" type="noConversion"/>
  </si>
  <si>
    <t>项目人天总计
（项目管理人天+实施人天）</t>
    <phoneticPr fontId="6" type="noConversion"/>
  </si>
  <si>
    <t>标准报价
（项目人天*标准单价）</t>
    <phoneticPr fontId="6" type="noConversion"/>
  </si>
  <si>
    <t>NCV6客开报价标准</t>
    <phoneticPr fontId="6" type="noConversion"/>
  </si>
  <si>
    <t>人员类别</t>
    <phoneticPr fontId="6" type="noConversion"/>
  </si>
  <si>
    <t>单价（万元/人天）</t>
    <phoneticPr fontId="6" type="noConversion"/>
  </si>
  <si>
    <t>工作量（天数）</t>
    <phoneticPr fontId="6" type="noConversion"/>
  </si>
  <si>
    <t>报价</t>
    <phoneticPr fontId="6" type="noConversion"/>
  </si>
  <si>
    <t>开发专家</t>
    <phoneticPr fontId="6" type="noConversion"/>
  </si>
  <si>
    <t>高级顾问</t>
  </si>
  <si>
    <t>高级软件工程师</t>
    <phoneticPr fontId="6" type="noConversion"/>
  </si>
  <si>
    <t>软件工程师</t>
  </si>
  <si>
    <t>1、金额单位：万元</t>
    <phoneticPr fontId="6" type="noConversion"/>
  </si>
  <si>
    <t>年服务费：60万/服务顾问。</t>
  </si>
  <si>
    <t>4 Processor</t>
  </si>
  <si>
    <t>50 NUP</t>
  </si>
  <si>
    <t>Diagnostics Pack</t>
  </si>
  <si>
    <t>Tuning Pack</t>
  </si>
  <si>
    <t>1套</t>
  </si>
  <si>
    <t>NCV6.5报价计算器</t>
    <phoneticPr fontId="6" type="noConversion"/>
  </si>
  <si>
    <t>NCV6.5标准产品报价</t>
    <phoneticPr fontId="6" type="noConversion"/>
  </si>
  <si>
    <t>产品支持服务报价</t>
    <phoneticPr fontId="5" type="noConversion"/>
  </si>
  <si>
    <t>注册用户报价</t>
    <phoneticPr fontId="5" type="noConversion"/>
  </si>
  <si>
    <t>并发报价</t>
    <phoneticPr fontId="5" type="noConversion"/>
  </si>
  <si>
    <t>系统运维服务报价</t>
    <phoneticPr fontId="5" type="noConversion"/>
  </si>
  <si>
    <t>第三方产品</t>
    <phoneticPr fontId="6" type="noConversion"/>
  </si>
  <si>
    <t xml:space="preserve">  天创征腾影像平台产品报价</t>
    <phoneticPr fontId="5" type="noConversion"/>
  </si>
  <si>
    <t>简历解析注册用户报价</t>
    <phoneticPr fontId="5" type="noConversion"/>
  </si>
  <si>
    <t xml:space="preserve">  简历解析注册用户报价</t>
    <phoneticPr fontId="5" type="noConversion"/>
  </si>
  <si>
    <t xml:space="preserve">  简历解析并发报价</t>
    <phoneticPr fontId="5" type="noConversion"/>
  </si>
  <si>
    <t>简历解析并发报价</t>
    <phoneticPr fontId="5" type="noConversion"/>
  </si>
  <si>
    <t>天创征腾影像平台报价</t>
    <phoneticPr fontId="5" type="noConversion"/>
  </si>
  <si>
    <t>Oracle （甲骨文）  ASFU   数据库</t>
    <phoneticPr fontId="90" type="noConversion"/>
  </si>
  <si>
    <t>世界最流行的大型关系数据库，具有一线特点：1.高性能及海量数据处理2.高可靠性及备份3.高可用性4.高安全性5.优越的系统管理。 
用友与厂商指定供货商：佳杰科技（上海）有限公司北京分公司</t>
    <phoneticPr fontId="90" type="noConversion"/>
  </si>
  <si>
    <t xml:space="preserve">目前版本：11g或12c，最新12c
ASFU：Application Specific Full Use 应用特指的完全使用许可证，基于NC/U9系统的安装需要，绑定NC/U9应用                                                
                                                                                                                                                                                                                                                                                                   单位（元）
</t>
    <phoneticPr fontId="90" type="noConversion"/>
  </si>
  <si>
    <t>Oracle 
数据库</t>
    <phoneticPr fontId="90" type="noConversion"/>
  </si>
  <si>
    <t>产品</t>
    <phoneticPr fontId="90" type="noConversion"/>
  </si>
  <si>
    <t>配置</t>
    <phoneticPr fontId="90" type="noConversion"/>
  </si>
  <si>
    <t>原厂list价格</t>
    <phoneticPr fontId="90" type="noConversion"/>
  </si>
  <si>
    <t>最低销售价格</t>
    <phoneticPr fontId="90" type="noConversion"/>
  </si>
  <si>
    <t>建议销售报价</t>
    <phoneticPr fontId="90" type="noConversion"/>
  </si>
  <si>
    <t>参考市场销售价格
（总代提货价）</t>
    <phoneticPr fontId="90" type="noConversion"/>
  </si>
  <si>
    <t>功能说明</t>
    <phoneticPr fontId="90" type="noConversion"/>
  </si>
  <si>
    <t>销售说明</t>
    <phoneticPr fontId="90" type="noConversion"/>
  </si>
  <si>
    <t>DB
(数据库）</t>
    <phoneticPr fontId="90" type="noConversion"/>
  </si>
  <si>
    <t>企业版
（EE）</t>
    <phoneticPr fontId="90" type="noConversion"/>
  </si>
  <si>
    <t xml:space="preserve">50 NUP </t>
    <phoneticPr fontId="90" type="noConversion"/>
  </si>
  <si>
    <t>能最快联机事务处理数据，进行数据的分布式查询和交易等；可配相应的功能选件</t>
    <phoneticPr fontId="90" type="noConversion"/>
  </si>
  <si>
    <t>配置高的可申请更深折扣</t>
    <phoneticPr fontId="90" type="noConversion"/>
  </si>
  <si>
    <t>1 Processor</t>
    <phoneticPr fontId="90" type="noConversion"/>
  </si>
  <si>
    <t xml:space="preserve">100 NUP </t>
    <phoneticPr fontId="90" type="noConversion"/>
  </si>
  <si>
    <t>2 Processor</t>
    <phoneticPr fontId="90" type="noConversion"/>
  </si>
  <si>
    <t xml:space="preserve">200 NUP </t>
    <phoneticPr fontId="90" type="noConversion"/>
  </si>
  <si>
    <t>/</t>
    <phoneticPr fontId="90" type="noConversion"/>
  </si>
  <si>
    <t>标准版
（SE）</t>
    <phoneticPr fontId="90" type="noConversion"/>
  </si>
  <si>
    <t>并发查询性能较低，没有性能调优工具；不能配任何的选件，不支持集群(RAC)；最多4 CPU，1000用户数</t>
    <phoneticPr fontId="90" type="noConversion"/>
  </si>
  <si>
    <t>销售标准版产品必须与Oracle销售确认后方可签署用户合同</t>
    <phoneticPr fontId="90" type="noConversion"/>
  </si>
  <si>
    <t xml:space="preserve">Database Enterprise management（数据库企业版管理包） </t>
    <phoneticPr fontId="90" type="noConversion"/>
  </si>
  <si>
    <t>数据库管理包，可以用来诊断数据库产品</t>
    <phoneticPr fontId="90" type="noConversion"/>
  </si>
  <si>
    <t>数据库管理包，可以用来配置数据库产品</t>
    <phoneticPr fontId="90" type="noConversion"/>
  </si>
  <si>
    <t xml:space="preserve">Database Lifecycle Management </t>
    <phoneticPr fontId="90" type="noConversion"/>
  </si>
  <si>
    <t>数据库管理包，可以用来调优数据库产品</t>
    <phoneticPr fontId="90" type="noConversion"/>
  </si>
  <si>
    <t xml:space="preserve">Datebase Vault </t>
    <phoneticPr fontId="90" type="noConversion"/>
  </si>
  <si>
    <t>1 Processor</t>
  </si>
  <si>
    <t>Oracle
 数据库 
其它选件</t>
    <phoneticPr fontId="90" type="noConversion"/>
  </si>
  <si>
    <t>RAC
（集群）</t>
    <phoneticPr fontId="90" type="noConversion"/>
  </si>
  <si>
    <t>50 NUP/1 Processor</t>
    <phoneticPr fontId="90" type="noConversion"/>
  </si>
  <si>
    <t>Real Application Clusters:并行服务器方式；只支持企业版，不支持标准版</t>
    <phoneticPr fontId="90" type="noConversion"/>
  </si>
  <si>
    <t>配选件的数量需和DB的数量一致</t>
    <phoneticPr fontId="90" type="noConversion"/>
  </si>
  <si>
    <t>100NUP/2 Processor</t>
    <phoneticPr fontId="90" type="noConversion"/>
  </si>
  <si>
    <t>介质          （CD）</t>
    <phoneticPr fontId="90" type="noConversion"/>
  </si>
  <si>
    <t>介质
（CD）</t>
    <phoneticPr fontId="90" type="noConversion"/>
  </si>
  <si>
    <t>选择对应平台及版本</t>
    <phoneticPr fontId="90" type="noConversion"/>
  </si>
  <si>
    <t>产品支持服务报价明细表</t>
    <phoneticPr fontId="90" type="noConversion"/>
  </si>
  <si>
    <r>
      <t xml:space="preserve">使用说明：
</t>
    </r>
    <r>
      <rPr>
        <sz val="10"/>
        <rFont val="微软雅黑"/>
        <family val="2"/>
        <charset val="134"/>
      </rPr>
      <t>1、绿色单元格为手工输入或选择区域。
2、灰色单元格为公式区域，不允许修改。
3、计算单位：万元。</t>
    </r>
    <phoneticPr fontId="90" type="noConversion"/>
  </si>
  <si>
    <t>二级分类</t>
    <phoneticPr fontId="90" type="noConversion"/>
  </si>
  <si>
    <t>服务产品</t>
    <phoneticPr fontId="90" type="noConversion"/>
  </si>
  <si>
    <t>软件产品标准价格(万元)/人天报价</t>
    <phoneticPr fontId="90" type="noConversion"/>
  </si>
  <si>
    <t>是否选择</t>
    <phoneticPr fontId="90" type="noConversion"/>
  </si>
  <si>
    <t>服务产品价格</t>
    <phoneticPr fontId="90" type="noConversion"/>
  </si>
  <si>
    <t>服务内容概要</t>
    <phoneticPr fontId="90" type="noConversion"/>
  </si>
  <si>
    <t xml:space="preserve">标准产品
支持服务（SPS）
</t>
    <phoneticPr fontId="90" type="noConversion"/>
  </si>
  <si>
    <t xml:space="preserve">标准产品支持服务 </t>
    <phoneticPr fontId="90" type="noConversion"/>
  </si>
  <si>
    <t xml:space="preserve">更新升级 </t>
    <phoneticPr fontId="90" type="noConversion"/>
  </si>
  <si>
    <t>年服务费：
NCV6.X：软件产品许可价×18%。</t>
    <phoneticPr fontId="90" type="noConversion"/>
  </si>
  <si>
    <t>问题解决</t>
    <phoneticPr fontId="90" type="noConversion"/>
  </si>
  <si>
    <t>知识转移</t>
    <phoneticPr fontId="90" type="noConversion"/>
  </si>
  <si>
    <t>系统体检</t>
    <phoneticPr fontId="90" type="noConversion"/>
  </si>
  <si>
    <t>标准产品支持服务-lite</t>
    <phoneticPr fontId="90" type="noConversion"/>
  </si>
  <si>
    <t>补丁更新</t>
    <phoneticPr fontId="90" type="noConversion"/>
  </si>
  <si>
    <t>服务费：
NCV5.7及以下：
软件产品许可价×12%。</t>
    <phoneticPr fontId="90" type="noConversion"/>
  </si>
  <si>
    <t xml:space="preserve">高级产品
支持服务（APS）
</t>
    <phoneticPr fontId="90" type="noConversion"/>
  </si>
  <si>
    <t xml:space="preserve">响应升级产品支持服务 </t>
    <phoneticPr fontId="90" type="noConversion"/>
  </si>
  <si>
    <t xml:space="preserve">1.热线电话接通优先级提升服务。 
2.在线问题受理优先级提升服务。 </t>
    <phoneticPr fontId="90" type="noConversion"/>
  </si>
  <si>
    <r>
      <t>年服务费：
软件产品许可价×5%。</t>
    </r>
    <r>
      <rPr>
        <sz val="10"/>
        <color indexed="10"/>
        <rFont val="宋体"/>
        <family val="3"/>
        <charset val="134"/>
      </rPr>
      <t/>
    </r>
    <phoneticPr fontId="90" type="noConversion"/>
  </si>
  <si>
    <t>高级团队产品支持服务</t>
    <phoneticPr fontId="90" type="noConversion"/>
  </si>
  <si>
    <t>1.热线电话由高级顾问提供问题解决服务。
2.客户在服务网站提交咨询问题后，由高级顾问提供客户的咨询问题解答服务。</t>
    <phoneticPr fontId="90" type="noConversion"/>
  </si>
  <si>
    <t>年服务费：
软件产品许可价×4%。</t>
    <phoneticPr fontId="90" type="noConversion"/>
  </si>
  <si>
    <t>专属座席产品支持服务</t>
    <phoneticPr fontId="90" type="noConversion"/>
  </si>
  <si>
    <t>1.4006600588将根据客户拨入的服务识别码自动接入固定的专属坐席，由指名的热线顾问负责该客户的问题解决，在专用热线启用前专属的热线顾问提前介入项目进行实施方案、客户业务的学习。
2.客户在服务网站提交咨询问题后，由指名的专属在线服务顾问负责该客户的咨询问题解答服务。</t>
    <phoneticPr fontId="90" type="noConversion"/>
  </si>
  <si>
    <t>年服务费：
35万/座席。</t>
    <phoneticPr fontId="90" type="noConversion"/>
  </si>
  <si>
    <t>客户服务代表制</t>
    <phoneticPr fontId="90" type="noConversion"/>
  </si>
  <si>
    <t>客户服务代表制是面向大型客户指定用友总部的唯一服务接口负责人，明确了产品支持服务责任主体，将大大提升服务效率和质量，也体现了用友对A1类客户提供的差异化服务。客户服务代表制的运行必须依赖于“X+1+N+i”的服务模式。</t>
    <phoneticPr fontId="90" type="noConversion"/>
  </si>
  <si>
    <t>1、报价：80万/年；
2、购买“客户服务代表”服务必须同时购买“专家会诊”服务。</t>
    <phoneticPr fontId="90" type="noConversion"/>
  </si>
  <si>
    <t>专家会诊服务</t>
    <phoneticPr fontId="90" type="noConversion"/>
  </si>
  <si>
    <t>配合专属服务团队解决二级以上的产品级系统问题及需求，按照服务计划定期提供主动的专家会诊服务，定期与客户进行产品需求沟通、提炼业务需求并进行产品功能持续提升。</t>
    <phoneticPr fontId="90" type="noConversion"/>
  </si>
  <si>
    <t>1、 方式：按人天报价；
2、 报价：1万元/人天。</t>
    <phoneticPr fontId="90" type="noConversion"/>
  </si>
  <si>
    <t>专属监控技术服务</t>
    <phoneticPr fontId="90" type="noConversion"/>
  </si>
  <si>
    <t>作为用友总部的技术专岗，为客户提供技术类问题快速响应，协助解决问题。总部技术顾问定期现场、远程方式提供的系统监控服务。</t>
    <phoneticPr fontId="90" type="noConversion"/>
  </si>
  <si>
    <t>1、方式：按人天报价；
2、高级顾问:0.8万元/人天；
3、专家：1万元/人天；</t>
    <phoneticPr fontId="90" type="noConversion"/>
  </si>
  <si>
    <t>合计</t>
    <phoneticPr fontId="90" type="noConversion"/>
  </si>
  <si>
    <t>系统运维服务报价明细表</t>
    <phoneticPr fontId="90" type="noConversion"/>
  </si>
  <si>
    <t>顾问人天费用标准表</t>
    <phoneticPr fontId="90" type="noConversion"/>
  </si>
  <si>
    <t>人员类型</t>
    <phoneticPr fontId="90" type="noConversion"/>
  </si>
  <si>
    <t>报价标准
（万元/人天）</t>
    <phoneticPr fontId="90" type="noConversion"/>
  </si>
  <si>
    <t>A类地区</t>
  </si>
  <si>
    <t>B类地区</t>
  </si>
  <si>
    <t>C类地区</t>
  </si>
  <si>
    <t>IT服务管理咨询专家</t>
  </si>
  <si>
    <t>下浮20%</t>
  </si>
  <si>
    <t>下浮40%</t>
  </si>
  <si>
    <t>专家/方案经理</t>
    <phoneticPr fontId="90" type="noConversion"/>
  </si>
  <si>
    <t>高级技术顾问</t>
    <phoneticPr fontId="90" type="noConversion"/>
  </si>
  <si>
    <t>下浮30%</t>
  </si>
  <si>
    <t>中级技术顾问</t>
    <phoneticPr fontId="90" type="noConversion"/>
  </si>
  <si>
    <t>初级技术顾问</t>
    <phoneticPr fontId="90" type="noConversion"/>
  </si>
  <si>
    <t>高级应用顾问</t>
    <phoneticPr fontId="90" type="noConversion"/>
  </si>
  <si>
    <t>中级应用顾问</t>
    <phoneticPr fontId="90" type="noConversion"/>
  </si>
  <si>
    <t>初级应用顾问</t>
    <phoneticPr fontId="90" type="noConversion"/>
  </si>
  <si>
    <t>说明：
A类地区：北京、上海、广州、深圳
B类地区：省会城市，珠江三角洲地区（珠海、佛山、中山、东莞）
C类地区：其他地区
人员等级是指通过并取得用友统一认证的各级顾问级别</t>
    <phoneticPr fontId="90" type="noConversion"/>
  </si>
  <si>
    <t>序号</t>
    <phoneticPr fontId="90" type="noConversion"/>
  </si>
  <si>
    <t>服务费
(万/人/次)</t>
    <phoneticPr fontId="90" type="noConversion"/>
  </si>
  <si>
    <t>工具费</t>
    <phoneticPr fontId="90" type="noConversion"/>
  </si>
  <si>
    <t>人天或次数评估</t>
    <phoneticPr fontId="90" type="noConversion"/>
  </si>
  <si>
    <t>IT服务运营管理服务</t>
    <phoneticPr fontId="90" type="noConversion"/>
  </si>
  <si>
    <t>IT服务管理咨询</t>
    <phoneticPr fontId="90" type="noConversion"/>
  </si>
  <si>
    <t>-</t>
    <phoneticPr fontId="90" type="noConversion"/>
  </si>
  <si>
    <t xml:space="preserve">1、咨询服务报价：3万/人/天。
以上服务如遇法定节假日：人天＝服务人天×3，非工作时间按人天＝服务人天×2
</t>
    <phoneticPr fontId="90" type="noConversion"/>
  </si>
  <si>
    <t>IT信息安全咨询</t>
    <phoneticPr fontId="90" type="noConversion"/>
  </si>
  <si>
    <t xml:space="preserve"> 1、咨询服务报价：1万/人/天。
以上服务如遇法定节假日：人天＝服务人天×3，非工作时间按人天＝服务人天×2</t>
    <phoneticPr fontId="90" type="noConversion"/>
  </si>
  <si>
    <t>IT技术服务咨询</t>
    <phoneticPr fontId="90" type="noConversion"/>
  </si>
  <si>
    <t>ITSS符合性评估咨询</t>
    <phoneticPr fontId="90" type="noConversion"/>
  </si>
  <si>
    <t xml:space="preserve">1、咨询服务报价：3万/人/天。
以上服务如遇法定节假日：人天＝服务人天×3，非工作时间按人天＝服务人天×2
</t>
    <phoneticPr fontId="90" type="noConversion"/>
  </si>
  <si>
    <t>业务应用优化咨询</t>
    <phoneticPr fontId="90" type="noConversion"/>
  </si>
  <si>
    <t xml:space="preserve">1、咨询服务报价：1万/人/天。
以上服务如遇法定节假日：人天＝服务人天×3，非工作时间按人天＝服务人天×2
</t>
    <phoneticPr fontId="90" type="noConversion"/>
  </si>
  <si>
    <t>系统运行保障服务</t>
    <phoneticPr fontId="90" type="noConversion"/>
  </si>
  <si>
    <t>现场保障服务</t>
    <phoneticPr fontId="90" type="noConversion"/>
  </si>
  <si>
    <t>1、年服务费：5万基础包（必选）+人天×服务顾问人天单价（可选），基础包包含10人天服务。
2、单次购买服务费：人天×人天单价×2。
3、以上现场服务如遇法定节假日：人天＝服务人天×3，非工作时间按人天＝服务人天×2。</t>
    <phoneticPr fontId="90" type="noConversion"/>
  </si>
  <si>
    <t>现场巡检</t>
  </si>
  <si>
    <t>3万/每次。</t>
    <phoneticPr fontId="90" type="noConversion"/>
  </si>
  <si>
    <t>客户俱乐部</t>
    <phoneticPr fontId="90" type="noConversion"/>
  </si>
  <si>
    <t>客户俱乐部：年度支持服务服务费10万及以上（含10万）以上的客户可免费获得一个名额，10万以内的客户参加客户俱乐部按照5000元/人次（不含往返交通费）的标准收取费用。</t>
  </si>
  <si>
    <t>驻场运维服务</t>
    <phoneticPr fontId="90" type="noConversion"/>
  </si>
  <si>
    <t>应用优化服务</t>
    <phoneticPr fontId="90" type="noConversion"/>
  </si>
  <si>
    <t>NC&amp;e-HR数据拆分服务</t>
    <phoneticPr fontId="90" type="noConversion"/>
  </si>
  <si>
    <t>供应链</t>
    <phoneticPr fontId="90" type="noConversion"/>
  </si>
  <si>
    <t>人力资源</t>
    <phoneticPr fontId="90" type="noConversion"/>
  </si>
  <si>
    <t>NC数据抽取服务</t>
    <phoneticPr fontId="90" type="noConversion"/>
  </si>
  <si>
    <t>财务会计</t>
    <phoneticPr fontId="90" type="noConversion"/>
  </si>
  <si>
    <t>计划预算</t>
    <phoneticPr fontId="90" type="noConversion"/>
  </si>
  <si>
    <t>资金管理</t>
  </si>
  <si>
    <t>iufo报表</t>
    <phoneticPr fontId="90" type="noConversion"/>
  </si>
  <si>
    <t>HR</t>
    <phoneticPr fontId="90" type="noConversion"/>
  </si>
  <si>
    <t>NC多账套同步服务</t>
    <phoneticPr fontId="90" type="noConversion"/>
  </si>
  <si>
    <t>基本档案、总账</t>
    <phoneticPr fontId="90" type="noConversion"/>
  </si>
  <si>
    <t>外系统迁移NC服务</t>
    <phoneticPr fontId="90" type="noConversion"/>
  </si>
  <si>
    <t>U8</t>
    <phoneticPr fontId="90" type="noConversion"/>
  </si>
  <si>
    <t>新中大</t>
    <phoneticPr fontId="90" type="noConversion"/>
  </si>
  <si>
    <t>金蝶K3</t>
    <phoneticPr fontId="90" type="noConversion"/>
  </si>
  <si>
    <t>金蝶KIS</t>
    <phoneticPr fontId="90" type="noConversion"/>
  </si>
  <si>
    <t>金蝶EAS</t>
    <phoneticPr fontId="90" type="noConversion"/>
  </si>
  <si>
    <t>安易</t>
    <phoneticPr fontId="90" type="noConversion"/>
  </si>
  <si>
    <t>金算盘</t>
    <phoneticPr fontId="90" type="noConversion"/>
  </si>
  <si>
    <t>浪潮VPS</t>
    <phoneticPr fontId="90" type="noConversion"/>
  </si>
  <si>
    <t>浪潮GPS</t>
    <phoneticPr fontId="90" type="noConversion"/>
  </si>
  <si>
    <t>OracleR11</t>
    <phoneticPr fontId="90" type="noConversion"/>
  </si>
  <si>
    <t>外系统与NC同步服务服务</t>
    <phoneticPr fontId="90" type="noConversion"/>
  </si>
  <si>
    <t>业务数据转NC财务凭证服务</t>
    <phoneticPr fontId="90" type="noConversion"/>
  </si>
  <si>
    <t>财务总账</t>
    <phoneticPr fontId="90" type="noConversion"/>
  </si>
  <si>
    <t>NC与微软AD对接服务</t>
    <phoneticPr fontId="90" type="noConversion"/>
  </si>
  <si>
    <t>数据库迁移服务</t>
    <phoneticPr fontId="90" type="noConversion"/>
  </si>
  <si>
    <t>Oracle/SQL/DB2</t>
    <phoneticPr fontId="90" type="noConversion"/>
  </si>
  <si>
    <t>技术服务</t>
    <phoneticPr fontId="90" type="noConversion"/>
  </si>
  <si>
    <t>系统部署及硬件建议方案</t>
    <phoneticPr fontId="90" type="noConversion"/>
  </si>
  <si>
    <t>提供系统架构建议及硬件配置方案</t>
    <phoneticPr fontId="90" type="noConversion"/>
  </si>
  <si>
    <t>系统容灾备份方案</t>
    <phoneticPr fontId="90" type="noConversion"/>
  </si>
  <si>
    <t>依据客户容灾需求定制容灾、备份方案</t>
    <phoneticPr fontId="90" type="noConversion"/>
  </si>
  <si>
    <t>数据库安装</t>
    <phoneticPr fontId="90" type="noConversion"/>
  </si>
  <si>
    <t>db2单机</t>
    <phoneticPr fontId="90" type="noConversion"/>
  </si>
  <si>
    <t>db2双机热备</t>
    <phoneticPr fontId="90" type="noConversion"/>
  </si>
  <si>
    <t>sqlserver集群</t>
    <phoneticPr fontId="90" type="noConversion"/>
  </si>
  <si>
    <t>oracle单机</t>
    <phoneticPr fontId="90" type="noConversion"/>
  </si>
  <si>
    <t>oracle双机热备</t>
    <phoneticPr fontId="90" type="noConversion"/>
  </si>
  <si>
    <t>oracle集群</t>
    <phoneticPr fontId="90" type="noConversion"/>
  </si>
  <si>
    <t>中间件安装</t>
    <phoneticPr fontId="90" type="noConversion"/>
  </si>
  <si>
    <t>NC中间件单机</t>
    <phoneticPr fontId="90" type="noConversion"/>
  </si>
  <si>
    <t>NC中间件集群</t>
    <phoneticPr fontId="90" type="noConversion"/>
  </si>
  <si>
    <t>websphere单机</t>
    <phoneticPr fontId="90" type="noConversion"/>
  </si>
  <si>
    <t>websphere集群</t>
    <phoneticPr fontId="90" type="noConversion"/>
  </si>
  <si>
    <t>weblogic单机</t>
    <phoneticPr fontId="90" type="noConversion"/>
  </si>
  <si>
    <t>weblogic集群</t>
    <phoneticPr fontId="90" type="noConversion"/>
  </si>
  <si>
    <t>日常技术运维服务</t>
    <phoneticPr fontId="90" type="noConversion"/>
  </si>
  <si>
    <t>数据库服务</t>
    <phoneticPr fontId="90" type="noConversion"/>
  </si>
  <si>
    <t>中间件服务维护</t>
    <phoneticPr fontId="90" type="noConversion"/>
  </si>
  <si>
    <t>NC服务维护</t>
    <phoneticPr fontId="90" type="noConversion"/>
  </si>
  <si>
    <t>测试环境维护（单套）</t>
    <phoneticPr fontId="90" type="noConversion"/>
  </si>
  <si>
    <t>系统巡检服务</t>
    <phoneticPr fontId="90" type="noConversion"/>
  </si>
  <si>
    <t>系统巡检</t>
    <phoneticPr fontId="90" type="noConversion"/>
  </si>
  <si>
    <t>备份与容灾服务</t>
    <phoneticPr fontId="90" type="noConversion"/>
  </si>
  <si>
    <t>备份与容灾</t>
    <phoneticPr fontId="90" type="noConversion"/>
  </si>
  <si>
    <t>系统紧急救援服务</t>
    <phoneticPr fontId="90" type="noConversion"/>
  </si>
  <si>
    <r>
      <t>系统紧急救援</t>
    </r>
    <r>
      <rPr>
        <b/>
        <sz val="10"/>
        <color indexed="8"/>
        <rFont val="微软雅黑"/>
        <family val="2"/>
        <charset val="134"/>
      </rPr>
      <t>/次</t>
    </r>
    <phoneticPr fontId="90" type="noConversion"/>
  </si>
  <si>
    <r>
      <t>系统紧急救援</t>
    </r>
    <r>
      <rPr>
        <b/>
        <sz val="10"/>
        <color indexed="8"/>
        <rFont val="微软雅黑"/>
        <family val="2"/>
        <charset val="134"/>
      </rPr>
      <t>/年</t>
    </r>
    <phoneticPr fontId="90" type="noConversion"/>
  </si>
  <si>
    <t>性能监控服务</t>
    <phoneticPr fontId="90" type="noConversion"/>
  </si>
  <si>
    <t>系统安装情况检查评估</t>
    <phoneticPr fontId="90" type="noConversion"/>
  </si>
  <si>
    <t>系统性能日常监控</t>
    <phoneticPr fontId="90" type="noConversion"/>
  </si>
  <si>
    <t>压力测试服务</t>
    <phoneticPr fontId="90" type="noConversion"/>
  </si>
  <si>
    <t>压力测试方案调研</t>
    <phoneticPr fontId="90" type="noConversion"/>
  </si>
  <si>
    <t>压力测试准备</t>
    <phoneticPr fontId="90" type="noConversion"/>
  </si>
  <si>
    <t>压力测试</t>
    <phoneticPr fontId="90" type="noConversion"/>
  </si>
  <si>
    <t>压力测试总结</t>
    <phoneticPr fontId="90" type="noConversion"/>
  </si>
  <si>
    <t>双引擎读写分离服务</t>
    <phoneticPr fontId="90" type="noConversion"/>
  </si>
  <si>
    <t>双引擎读写分离</t>
    <phoneticPr fontId="90" type="noConversion"/>
  </si>
  <si>
    <t>数据分区服务</t>
    <phoneticPr fontId="90" type="noConversion"/>
  </si>
  <si>
    <t>数据库表分区</t>
    <phoneticPr fontId="90" type="noConversion"/>
  </si>
  <si>
    <t>NC升级保障服务</t>
    <phoneticPr fontId="90" type="noConversion"/>
  </si>
  <si>
    <t>升级测试</t>
    <phoneticPr fontId="90" type="noConversion"/>
  </si>
  <si>
    <t>升级期间现场技术支持</t>
    <phoneticPr fontId="90" type="noConversion"/>
  </si>
  <si>
    <t>数据库升级保障服务</t>
    <phoneticPr fontId="90" type="noConversion"/>
  </si>
  <si>
    <t>中间件升级保障服务</t>
    <phoneticPr fontId="90" type="noConversion"/>
  </si>
  <si>
    <t>运维培训服务</t>
    <phoneticPr fontId="90" type="noConversion"/>
  </si>
  <si>
    <t>NC产品</t>
    <phoneticPr fontId="90" type="noConversion"/>
  </si>
  <si>
    <t>NC产品配置及管理</t>
    <phoneticPr fontId="90" type="noConversion"/>
  </si>
  <si>
    <t>NC问题诊断</t>
    <phoneticPr fontId="90" type="noConversion"/>
  </si>
  <si>
    <t>中间件</t>
    <phoneticPr fontId="90" type="noConversion"/>
  </si>
  <si>
    <t>WAS中间件安装配置管理</t>
    <phoneticPr fontId="90" type="noConversion"/>
  </si>
  <si>
    <t>Weblogic中间件安装配置管理</t>
    <phoneticPr fontId="90" type="noConversion"/>
  </si>
  <si>
    <t>数据库技术</t>
    <phoneticPr fontId="90" type="noConversion"/>
  </si>
  <si>
    <t>oracle数据库的安装</t>
    <phoneticPr fontId="90" type="noConversion"/>
  </si>
  <si>
    <t>oracle数据库维护及调优</t>
    <phoneticPr fontId="90" type="noConversion"/>
  </si>
  <si>
    <t>oracle数据库备份管理</t>
    <phoneticPr fontId="90" type="noConversion"/>
  </si>
  <si>
    <t>SQL server数据库的安装</t>
    <phoneticPr fontId="90" type="noConversion"/>
  </si>
  <si>
    <t>SQL server数据库维护及调优</t>
    <phoneticPr fontId="90" type="noConversion"/>
  </si>
  <si>
    <t>SQL server数据库备份管理</t>
    <phoneticPr fontId="90" type="noConversion"/>
  </si>
  <si>
    <t>DB2数据库的安装</t>
    <phoneticPr fontId="90" type="noConversion"/>
  </si>
  <si>
    <t>DB2数据库维护及调优</t>
    <phoneticPr fontId="90" type="noConversion"/>
  </si>
  <si>
    <t>DB2数据库备份管理</t>
    <phoneticPr fontId="90" type="noConversion"/>
  </si>
  <si>
    <t>系统管理员培训</t>
    <phoneticPr fontId="90" type="noConversion"/>
  </si>
  <si>
    <t>客户方现场</t>
    <phoneticPr fontId="90" type="noConversion"/>
  </si>
  <si>
    <t>客户现场：1.8万/天。</t>
    <phoneticPr fontId="90" type="noConversion"/>
  </si>
  <si>
    <t>用友集中培训</t>
    <phoneticPr fontId="90" type="noConversion"/>
  </si>
  <si>
    <t>用友集中培训班：1500/学员/天。</t>
    <phoneticPr fontId="90" type="noConversion"/>
  </si>
  <si>
    <t>IT运维管理培训</t>
  </si>
  <si>
    <t>ITIL最佳实践培训</t>
    <phoneticPr fontId="90" type="noConversion"/>
  </si>
  <si>
    <t>现场</t>
    <phoneticPr fontId="90" type="noConversion"/>
  </si>
  <si>
    <t>1、参加ITIL® Foundation的学员，培训费+认证费：3500元/共3天。</t>
    <phoneticPr fontId="90" type="noConversion"/>
  </si>
  <si>
    <t>2、ITIL®专家级—MALC的学员，培训费+认证费：15000元/共8天</t>
    <phoneticPr fontId="90" type="noConversion"/>
  </si>
  <si>
    <t>ISO20000标准精解培训</t>
    <phoneticPr fontId="90" type="noConversion"/>
  </si>
  <si>
    <t>1、参加基础资格（Foundation）的学员，培训费+认证费：3500元/共3天。</t>
    <phoneticPr fontId="90" type="noConversion"/>
  </si>
  <si>
    <t>2、参加从业资格（Practitioner）的学员，培训费+认证费：8000元/共5天。</t>
    <phoneticPr fontId="90" type="noConversion"/>
  </si>
  <si>
    <t>3、参加审计员（Auditor）的学员，培训费+认证费：12000元/共8天。</t>
    <phoneticPr fontId="90" type="noConversion"/>
  </si>
  <si>
    <t>ITSS标准精解培训</t>
    <phoneticPr fontId="90" type="noConversion"/>
  </si>
  <si>
    <t>IT服务工程师培训费+认证费：3800元/共3天。</t>
    <phoneticPr fontId="90" type="noConversion"/>
  </si>
  <si>
    <t>IT服务项目经理培训费+认证费：6800元/共5天。</t>
    <phoneticPr fontId="90" type="noConversion"/>
  </si>
  <si>
    <t>NCV6移动应用租赁报价</t>
    <phoneticPr fontId="5" type="noConversion"/>
  </si>
  <si>
    <t>财务会计</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</si>
</sst>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 #,##0.00_ ;_ * \-#,##0.00_ ;_ * &quot;-&quot;??_ ;_ @_ "/>
    <numFmt numFmtId="176" formatCode="0_);[Red]\(0\)"/>
    <numFmt numFmtId="177" formatCode="#,##0.00_);[Red]\(#,##0.00\)"/>
    <numFmt numFmtId="178" formatCode="0.00_);[Red]\(0.00\)"/>
    <numFmt numFmtId="179" formatCode="0.00_ ;[Red]\-0.00\ "/>
    <numFmt numFmtId="180" formatCode="#,##0.000_);[Red]\(#,##0.000\)"/>
    <numFmt numFmtId="181" formatCode="0.000_);[Red]\(0.000\)"/>
    <numFmt numFmtId="182" formatCode="0.0_);[Red]\(0.0\)"/>
    <numFmt numFmtId="183" formatCode="0.00;[Red]0.00"/>
    <numFmt numFmtId="184" formatCode="#,##0_);[Red]\(#,##0\)"/>
    <numFmt numFmtId="185" formatCode="0.00_ "/>
    <numFmt numFmtId="186" formatCode="0_ ;[Red]\-0\ "/>
    <numFmt numFmtId="187" formatCode="0_ "/>
    <numFmt numFmtId="188" formatCode="_ * #,##0_ ;_ * \-#,##0_ ;_ * &quot;-&quot;??_ ;_ @_ "/>
    <numFmt numFmtId="189" formatCode="0.0_ "/>
    <numFmt numFmtId="190" formatCode="_ * #,##0.0_ ;_ * \-#,##0.0_ ;_ * &quot;-&quot;??_ ;_ @_ "/>
    <numFmt numFmtId="191" formatCode="&quot;¥&quot;#,##0;[Red]\-&quot;¥&quot;#,##0"/>
    <numFmt numFmtId="192" formatCode="\¥#,##0;[Red]\-\¥#,##0"/>
  </numFmts>
  <fonts count="103">
    <font>
      <sz val="11"/>
      <color theme="1"/>
      <name val="宋体"/>
      <family val="2"/>
      <charset val="134"/>
      <scheme val="minor"/>
    </font>
    <font>
      <sz val="11"/>
      <color theme="1"/>
      <name val="宋体"/>
      <family val="2"/>
      <charset val="134"/>
      <scheme val="minor"/>
    </font>
    <font>
      <b/>
      <sz val="18"/>
      <color theme="3"/>
      <name val="宋体"/>
      <family val="2"/>
      <charset val="134"/>
      <scheme val="major"/>
    </font>
    <font>
      <sz val="11"/>
      <color theme="0"/>
      <name val="宋体"/>
      <family val="2"/>
      <charset val="134"/>
      <scheme val="minor"/>
    </font>
    <font>
      <b/>
      <sz val="24"/>
      <color theme="1"/>
      <name val="微软雅黑"/>
      <family val="2"/>
      <charset val="134"/>
    </font>
    <font>
      <sz val="9"/>
      <name val="宋体"/>
      <family val="2"/>
      <charset val="134"/>
      <scheme val="minor"/>
    </font>
    <font>
      <sz val="9"/>
      <name val="宋体"/>
      <family val="3"/>
      <charset val="134"/>
    </font>
    <font>
      <sz val="12"/>
      <color theme="1"/>
      <name val="宋体"/>
      <family val="3"/>
      <charset val="134"/>
    </font>
    <font>
      <b/>
      <sz val="12"/>
      <color theme="1"/>
      <name val="微软雅黑"/>
      <family val="2"/>
      <charset val="134"/>
    </font>
    <font>
      <sz val="11"/>
      <color theme="1"/>
      <name val="宋体"/>
      <family val="3"/>
      <charset val="134"/>
    </font>
    <font>
      <b/>
      <sz val="10"/>
      <name val="宋体"/>
      <family val="3"/>
      <charset val="134"/>
    </font>
    <font>
      <sz val="10"/>
      <color theme="1"/>
      <name val="宋体"/>
      <family val="3"/>
      <charset val="134"/>
    </font>
    <font>
      <b/>
      <sz val="10"/>
      <color theme="1"/>
      <name val="宋体"/>
      <family val="3"/>
      <charset val="134"/>
    </font>
    <font>
      <b/>
      <sz val="10"/>
      <color rgb="FFFF0000"/>
      <name val="宋体"/>
      <family val="3"/>
      <charset val="134"/>
    </font>
    <font>
      <sz val="10"/>
      <color rgb="FFFF0000"/>
      <name val="宋体"/>
      <family val="3"/>
      <charset val="134"/>
    </font>
    <font>
      <sz val="11"/>
      <name val="宋体"/>
      <family val="3"/>
      <charset val="134"/>
      <scheme val="minor"/>
    </font>
    <font>
      <sz val="10"/>
      <name val="宋体"/>
      <family val="3"/>
      <charset val="134"/>
    </font>
    <font>
      <sz val="10"/>
      <name val="宋体"/>
      <family val="3"/>
      <charset val="134"/>
      <scheme val="minor"/>
    </font>
    <font>
      <sz val="9"/>
      <name val="宋体"/>
      <family val="3"/>
      <charset val="134"/>
      <scheme val="minor"/>
    </font>
    <font>
      <b/>
      <sz val="10"/>
      <color theme="1"/>
      <name val="宋体"/>
      <family val="3"/>
      <charset val="134"/>
      <scheme val="minor"/>
    </font>
    <font>
      <sz val="10"/>
      <color theme="1"/>
      <name val="宋体"/>
      <family val="3"/>
      <charset val="134"/>
      <scheme val="minor"/>
    </font>
    <font>
      <b/>
      <sz val="11"/>
      <name val="宋体"/>
      <family val="3"/>
      <charset val="134"/>
    </font>
    <font>
      <sz val="12"/>
      <color rgb="FFFF0000"/>
      <name val="宋体"/>
      <family val="3"/>
      <charset val="134"/>
    </font>
    <font>
      <sz val="11"/>
      <color theme="1"/>
      <name val="宋体"/>
      <family val="3"/>
      <charset val="134"/>
      <scheme val="minor"/>
    </font>
    <font>
      <sz val="10"/>
      <color theme="1"/>
      <name val="宋体"/>
      <family val="2"/>
      <charset val="134"/>
      <scheme val="minor"/>
    </font>
    <font>
      <b/>
      <sz val="10"/>
      <name val="宋体"/>
      <family val="3"/>
      <charset val="134"/>
      <scheme val="minor"/>
    </font>
    <font>
      <b/>
      <sz val="10"/>
      <color rgb="FFFF0000"/>
      <name val="宋体"/>
      <family val="3"/>
      <charset val="134"/>
      <scheme val="minor"/>
    </font>
    <font>
      <sz val="12"/>
      <name val="宋体"/>
      <family val="3"/>
      <charset val="134"/>
    </font>
    <font>
      <b/>
      <sz val="12"/>
      <color theme="1"/>
      <name val="宋体"/>
      <family val="3"/>
      <charset val="134"/>
    </font>
    <font>
      <b/>
      <sz val="18"/>
      <color theme="3"/>
      <name val="宋体"/>
      <family val="3"/>
      <charset val="134"/>
      <scheme val="major"/>
    </font>
    <font>
      <sz val="10"/>
      <name val="Arial"/>
      <family val="2"/>
    </font>
    <font>
      <u/>
      <sz val="11"/>
      <color theme="10"/>
      <name val="宋体"/>
      <family val="3"/>
      <charset val="134"/>
    </font>
    <font>
      <sz val="11"/>
      <color theme="0"/>
      <name val="宋体"/>
      <family val="3"/>
      <charset val="134"/>
      <scheme val="minor"/>
    </font>
    <font>
      <b/>
      <sz val="9"/>
      <color theme="1"/>
      <name val="宋体"/>
      <family val="3"/>
      <charset val="134"/>
    </font>
    <font>
      <b/>
      <sz val="9"/>
      <name val="宋体"/>
      <family val="3"/>
      <charset val="134"/>
    </font>
    <font>
      <b/>
      <sz val="10"/>
      <name val="Arial"/>
      <family val="2"/>
    </font>
    <font>
      <b/>
      <sz val="10"/>
      <color theme="1"/>
      <name val="Arial"/>
      <family val="2"/>
    </font>
    <font>
      <sz val="9"/>
      <color theme="1"/>
      <name val="宋体"/>
      <family val="2"/>
      <charset val="134"/>
      <scheme val="minor"/>
    </font>
    <font>
      <b/>
      <sz val="11"/>
      <name val="宋体"/>
      <family val="3"/>
      <charset val="134"/>
      <scheme val="minor"/>
    </font>
    <font>
      <b/>
      <sz val="12"/>
      <name val="宋体"/>
      <family val="3"/>
      <charset val="134"/>
    </font>
    <font>
      <b/>
      <sz val="18"/>
      <color theme="3"/>
      <name val="宋体"/>
      <family val="3"/>
      <charset val="134"/>
      <scheme val="major"/>
    </font>
    <font>
      <sz val="11"/>
      <color theme="1"/>
      <name val="宋体"/>
      <family val="3"/>
      <charset val="134"/>
      <scheme val="minor"/>
    </font>
    <font>
      <sz val="11"/>
      <color theme="0"/>
      <name val="宋体"/>
      <family val="3"/>
      <charset val="134"/>
      <scheme val="minor"/>
    </font>
    <font>
      <b/>
      <sz val="24"/>
      <color rgb="FF000000"/>
      <name val="微软雅黑"/>
      <family val="2"/>
      <charset val="134"/>
    </font>
    <font>
      <b/>
      <sz val="12"/>
      <color rgb="FF000000"/>
      <name val="微软雅黑"/>
      <family val="2"/>
      <charset val="134"/>
    </font>
    <font>
      <sz val="9"/>
      <name val="宋体"/>
      <family val="2"/>
      <charset val="134"/>
    </font>
    <font>
      <sz val="9"/>
      <name val="宋体"/>
      <family val="3"/>
      <charset val="134"/>
    </font>
    <font>
      <b/>
      <sz val="9"/>
      <name val="宋体"/>
      <family val="3"/>
      <charset val="134"/>
      <scheme val="minor"/>
    </font>
    <font>
      <sz val="10"/>
      <name val="宋体"/>
      <family val="2"/>
      <charset val="134"/>
      <scheme val="minor"/>
    </font>
    <font>
      <b/>
      <sz val="24"/>
      <name val="微软雅黑"/>
      <family val="2"/>
      <charset val="134"/>
    </font>
    <font>
      <sz val="10.5"/>
      <name val="宋体"/>
      <family val="3"/>
      <charset val="134"/>
    </font>
    <font>
      <sz val="10"/>
      <color rgb="FFFF0000"/>
      <name val="微软雅黑"/>
      <family val="2"/>
      <charset val="134"/>
    </font>
    <font>
      <b/>
      <sz val="12"/>
      <name val="微软雅黑"/>
      <family val="2"/>
      <charset val="134"/>
    </font>
    <font>
      <b/>
      <sz val="10.5"/>
      <name val="宋体"/>
      <family val="3"/>
      <charset val="134"/>
    </font>
    <font>
      <b/>
      <sz val="10.5"/>
      <color rgb="FFFF0000"/>
      <name val="宋体"/>
      <family val="3"/>
      <charset val="134"/>
    </font>
    <font>
      <b/>
      <sz val="10"/>
      <color indexed="30"/>
      <name val="宋体"/>
      <family val="3"/>
      <charset val="134"/>
    </font>
    <font>
      <b/>
      <sz val="11"/>
      <color theme="1"/>
      <name val="宋体"/>
      <family val="2"/>
      <charset val="134"/>
      <scheme val="minor"/>
    </font>
    <font>
      <sz val="11"/>
      <color theme="1"/>
      <name val="宋体"/>
      <family val="2"/>
      <scheme val="minor"/>
    </font>
    <font>
      <b/>
      <sz val="9"/>
      <color theme="1"/>
      <name val="宋体"/>
      <family val="3"/>
      <charset val="134"/>
      <scheme val="minor"/>
    </font>
    <font>
      <sz val="9"/>
      <color theme="1"/>
      <name val="宋体"/>
      <family val="3"/>
      <charset val="134"/>
      <scheme val="minor"/>
    </font>
    <font>
      <sz val="10"/>
      <color rgb="FF000000"/>
      <name val="宋体"/>
      <family val="3"/>
      <charset val="134"/>
    </font>
    <font>
      <b/>
      <sz val="22"/>
      <color theme="1"/>
      <name val="微软雅黑"/>
      <family val="2"/>
      <charset val="134"/>
    </font>
    <font>
      <b/>
      <u/>
      <sz val="16"/>
      <color theme="10"/>
      <name val="微软雅黑"/>
      <family val="2"/>
      <charset val="134"/>
    </font>
    <font>
      <b/>
      <sz val="11"/>
      <name val="微软雅黑"/>
      <family val="2"/>
      <charset val="134"/>
    </font>
    <font>
      <sz val="10"/>
      <color theme="1"/>
      <name val="微软雅黑"/>
      <family val="2"/>
      <charset val="134"/>
    </font>
    <font>
      <b/>
      <sz val="10"/>
      <color indexed="12"/>
      <name val="宋体"/>
      <family val="3"/>
      <charset val="134"/>
    </font>
    <font>
      <u/>
      <sz val="10"/>
      <color theme="10"/>
      <name val="微软雅黑"/>
      <family val="2"/>
      <charset val="134"/>
    </font>
    <font>
      <sz val="10"/>
      <name val="微软雅黑"/>
      <family val="2"/>
      <charset val="134"/>
    </font>
    <font>
      <sz val="11"/>
      <name val="宋体"/>
      <family val="3"/>
      <charset val="134"/>
    </font>
    <font>
      <b/>
      <sz val="9"/>
      <color indexed="81"/>
      <name val="宋体"/>
      <family val="3"/>
      <charset val="134"/>
    </font>
    <font>
      <b/>
      <sz val="9"/>
      <color indexed="81"/>
      <name val="Tahoma"/>
      <family val="2"/>
    </font>
    <font>
      <sz val="9"/>
      <color indexed="81"/>
      <name val="Tahoma"/>
      <family val="2"/>
    </font>
    <font>
      <sz val="9"/>
      <color indexed="81"/>
      <name val="宋体"/>
      <family val="3"/>
      <charset val="134"/>
    </font>
    <font>
      <b/>
      <sz val="10"/>
      <color indexed="8"/>
      <name val="宋体"/>
      <family val="3"/>
      <charset val="134"/>
    </font>
    <font>
      <sz val="10"/>
      <color indexed="8"/>
      <name val="宋体"/>
      <family val="3"/>
      <charset val="134"/>
    </font>
    <font>
      <b/>
      <sz val="10"/>
      <name val="微软雅黑"/>
      <family val="2"/>
      <charset val="134"/>
    </font>
    <font>
      <b/>
      <sz val="16"/>
      <name val="宋体"/>
      <family val="3"/>
      <charset val="134"/>
    </font>
    <font>
      <sz val="9"/>
      <name val="微软雅黑"/>
      <family val="2"/>
      <charset val="134"/>
    </font>
    <font>
      <b/>
      <sz val="11"/>
      <color indexed="30"/>
      <name val="宋体"/>
      <family val="3"/>
      <charset val="134"/>
    </font>
    <font>
      <b/>
      <sz val="12"/>
      <color indexed="30"/>
      <name val="宋体"/>
      <family val="3"/>
      <charset val="134"/>
    </font>
    <font>
      <sz val="11"/>
      <color theme="1"/>
      <name val="微软雅黑"/>
      <family val="2"/>
      <charset val="134"/>
    </font>
    <font>
      <b/>
      <sz val="10"/>
      <color rgb="FFFF0000"/>
      <name val="微软雅黑"/>
      <family val="2"/>
      <charset val="134"/>
    </font>
    <font>
      <b/>
      <sz val="10"/>
      <color indexed="10"/>
      <name val="微软雅黑"/>
      <family val="2"/>
      <charset val="134"/>
    </font>
    <font>
      <b/>
      <sz val="16"/>
      <color indexed="9"/>
      <name val="微软雅黑"/>
      <family val="2"/>
      <charset val="134"/>
    </font>
    <font>
      <b/>
      <sz val="11"/>
      <color indexed="9"/>
      <name val="微软雅黑"/>
      <family val="2"/>
      <charset val="134"/>
    </font>
    <font>
      <b/>
      <sz val="9"/>
      <color rgb="FF002060"/>
      <name val="微软雅黑"/>
      <family val="2"/>
      <charset val="134"/>
    </font>
    <font>
      <b/>
      <sz val="10"/>
      <color rgb="FF002060"/>
      <name val="微软雅黑"/>
      <family val="2"/>
      <charset val="134"/>
    </font>
    <font>
      <b/>
      <sz val="9"/>
      <color rgb="FF0066FF"/>
      <name val="微软雅黑"/>
      <family val="2"/>
      <charset val="134"/>
    </font>
    <font>
      <b/>
      <sz val="9"/>
      <name val="微软雅黑"/>
      <family val="2"/>
      <charset val="134"/>
    </font>
    <font>
      <b/>
      <sz val="10"/>
      <color rgb="FF0066FF"/>
      <name val="微软雅黑"/>
      <family val="2"/>
      <charset val="134"/>
    </font>
    <font>
      <sz val="9"/>
      <name val="宋体"/>
      <family val="3"/>
      <charset val="134"/>
    </font>
    <font>
      <sz val="11"/>
      <color theme="1"/>
      <name val="宋体"/>
      <family val="3"/>
      <charset val="134"/>
      <scheme val="minor"/>
    </font>
    <font>
      <sz val="20"/>
      <name val="微软雅黑"/>
      <family val="2"/>
      <charset val="134"/>
    </font>
    <font>
      <sz val="12"/>
      <name val="宋体"/>
      <family val="3"/>
      <charset val="134"/>
    </font>
    <font>
      <sz val="10"/>
      <color indexed="10"/>
      <name val="宋体"/>
      <family val="3"/>
      <charset val="134"/>
    </font>
    <font>
      <u/>
      <sz val="12"/>
      <color indexed="12"/>
      <name val="宋体"/>
      <family val="3"/>
      <charset val="134"/>
    </font>
    <font>
      <u/>
      <sz val="12"/>
      <color indexed="12"/>
      <name val="微软雅黑"/>
      <family val="2"/>
      <charset val="134"/>
    </font>
    <font>
      <sz val="12"/>
      <name val="微软雅黑"/>
      <family val="2"/>
      <charset val="134"/>
    </font>
    <font>
      <sz val="10"/>
      <color rgb="FF000000"/>
      <name val="微软雅黑"/>
      <family val="2"/>
      <charset val="134"/>
    </font>
    <font>
      <sz val="9"/>
      <color theme="1"/>
      <name val="微软雅黑"/>
      <family val="2"/>
      <charset val="134"/>
    </font>
    <font>
      <b/>
      <sz val="10"/>
      <color theme="1"/>
      <name val="微软雅黑"/>
      <family val="2"/>
      <charset val="134"/>
    </font>
    <font>
      <sz val="10"/>
      <color rgb="FF0D0D0D"/>
      <name val="微软雅黑"/>
      <family val="2"/>
      <charset val="134"/>
    </font>
    <font>
      <b/>
      <sz val="10"/>
      <color indexed="8"/>
      <name val="微软雅黑"/>
      <family val="2"/>
      <charset val="134"/>
    </font>
  </fonts>
  <fills count="24">
    <fill>
      <patternFill patternType="none"/>
    </fill>
    <fill>
      <patternFill patternType="gray125"/>
    </fill>
    <fill>
      <patternFill patternType="solid">
        <fgColor theme="9"/>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tint="-0.249977111117893"/>
        <bgColor indexed="64"/>
      </patternFill>
    </fill>
    <fill>
      <patternFill patternType="solid">
        <fgColor rgb="FFC0C0C0"/>
        <bgColor rgb="FF000000"/>
      </patternFill>
    </fill>
    <fill>
      <patternFill patternType="solid">
        <fgColor rgb="FFCCFF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rgb="FFFFFFFF"/>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FF66"/>
        <bgColor indexed="64"/>
      </patternFill>
    </fill>
    <fill>
      <patternFill patternType="solid">
        <fgColor rgb="FFCC0000"/>
        <bgColor indexed="60"/>
      </patternFill>
    </fill>
    <fill>
      <patternFill patternType="solid">
        <fgColor theme="9" tint="0.79998168889431442"/>
        <bgColor indexed="60"/>
      </patternFill>
    </fill>
    <fill>
      <patternFill patternType="solid">
        <fgColor rgb="FFFFC000"/>
        <bgColor indexed="64"/>
      </patternFill>
    </fill>
  </fills>
  <borders count="78">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7">
    <xf numFmtId="0" fontId="0" fillId="0" borderId="0">
      <alignment vertical="center"/>
    </xf>
    <xf numFmtId="0" fontId="2" fillId="0" borderId="0" applyNumberFormat="0" applyFill="0" applyBorder="0" applyAlignment="0" applyProtection="0">
      <alignment vertical="center"/>
    </xf>
    <xf numFmtId="0" fontId="3" fillId="2" borderId="0" applyNumberFormat="0" applyBorder="0" applyAlignment="0" applyProtection="0">
      <alignment vertical="center"/>
    </xf>
    <xf numFmtId="0" fontId="1" fillId="0" borderId="0">
      <alignment vertical="center"/>
    </xf>
    <xf numFmtId="0" fontId="29" fillId="0" borderId="0" applyNumberFormat="0" applyFill="0" applyBorder="0" applyAlignment="0" applyProtection="0">
      <alignment vertical="center"/>
    </xf>
    <xf numFmtId="0" fontId="27" fillId="0" borderId="0">
      <alignment vertical="center"/>
    </xf>
    <xf numFmtId="0" fontId="27" fillId="0" borderId="0">
      <alignment vertical="center"/>
    </xf>
    <xf numFmtId="0" fontId="27" fillId="0" borderId="0"/>
    <xf numFmtId="0" fontId="23" fillId="0" borderId="0">
      <alignment vertical="center"/>
    </xf>
    <xf numFmtId="0" fontId="1" fillId="0" borderId="0">
      <alignment vertical="center"/>
    </xf>
    <xf numFmtId="0" fontId="27" fillId="0" borderId="0"/>
    <xf numFmtId="0" fontId="31" fillId="0" borderId="0" applyNumberFormat="0" applyFill="0" applyBorder="0" applyAlignment="0" applyProtection="0">
      <alignment vertical="top"/>
      <protection locked="0"/>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32" fillId="2" borderId="0" applyNumberFormat="0" applyBorder="0" applyAlignment="0" applyProtection="0">
      <alignment vertical="center"/>
    </xf>
    <xf numFmtId="0" fontId="30" fillId="0" borderId="0"/>
    <xf numFmtId="0" fontId="40" fillId="0" borderId="0" applyNumberFormat="0" applyFill="0" applyBorder="0" applyAlignment="0" applyProtection="0">
      <alignment vertical="center"/>
    </xf>
    <xf numFmtId="0" fontId="41" fillId="0" borderId="0">
      <alignment vertical="center"/>
    </xf>
    <xf numFmtId="0" fontId="42" fillId="2" borderId="0" applyNumberFormat="0" applyBorder="0" applyAlignment="0" applyProtection="0">
      <alignment vertical="center"/>
    </xf>
    <xf numFmtId="0" fontId="41" fillId="0" borderId="0">
      <alignment vertical="center"/>
    </xf>
    <xf numFmtId="0" fontId="57" fillId="0" borderId="0"/>
    <xf numFmtId="43" fontId="1" fillId="0" borderId="0" applyFont="0" applyFill="0" applyBorder="0" applyAlignment="0" applyProtection="0">
      <alignment vertical="center"/>
    </xf>
    <xf numFmtId="0" fontId="30" fillId="0" borderId="0"/>
    <xf numFmtId="0" fontId="91" fillId="0" borderId="0">
      <alignment vertical="center"/>
    </xf>
    <xf numFmtId="0" fontId="93" fillId="0" borderId="0"/>
    <xf numFmtId="0" fontId="95" fillId="0" borderId="0" applyNumberFormat="0" applyFill="0" applyBorder="0" applyAlignment="0" applyProtection="0">
      <alignment vertical="top"/>
      <protection locked="0"/>
    </xf>
    <xf numFmtId="0" fontId="93" fillId="0" borderId="0"/>
  </cellStyleXfs>
  <cellXfs count="1550">
    <xf numFmtId="0" fontId="0" fillId="0" borderId="0" xfId="0">
      <alignment vertical="center"/>
    </xf>
    <xf numFmtId="0" fontId="7" fillId="0" borderId="0" xfId="0" applyFont="1" applyAlignment="1" applyProtection="1">
      <alignment vertical="center"/>
    </xf>
    <xf numFmtId="0" fontId="9" fillId="0" borderId="0" xfId="0" applyFont="1" applyAlignment="1" applyProtection="1">
      <alignment horizontal="center" vertical="center"/>
    </xf>
    <xf numFmtId="0" fontId="12" fillId="4" borderId="9" xfId="0" applyNumberFormat="1" applyFont="1" applyFill="1" applyBorder="1" applyAlignment="1" applyProtection="1">
      <alignment horizontal="center" vertical="center" wrapText="1"/>
    </xf>
    <xf numFmtId="0" fontId="7" fillId="4" borderId="0" xfId="0" applyFont="1" applyFill="1" applyAlignment="1" applyProtection="1">
      <alignment vertical="center"/>
    </xf>
    <xf numFmtId="0" fontId="10" fillId="4" borderId="9" xfId="0" applyNumberFormat="1" applyFont="1" applyFill="1" applyBorder="1" applyAlignment="1" applyProtection="1">
      <alignment horizontal="center" vertical="center" wrapText="1"/>
    </xf>
    <xf numFmtId="176" fontId="12" fillId="0" borderId="9" xfId="0" applyNumberFormat="1" applyFont="1" applyFill="1" applyBorder="1" applyAlignment="1" applyProtection="1">
      <alignment horizontal="center" vertical="center"/>
    </xf>
    <xf numFmtId="176" fontId="12" fillId="0" borderId="9" xfId="0" applyNumberFormat="1" applyFont="1" applyBorder="1" applyAlignment="1" applyProtection="1">
      <alignment horizontal="center" vertical="center"/>
    </xf>
    <xf numFmtId="0" fontId="12" fillId="0" borderId="9" xfId="0" applyNumberFormat="1" applyFont="1" applyBorder="1" applyAlignment="1" applyProtection="1">
      <alignment horizontal="center" vertical="center" wrapText="1"/>
    </xf>
    <xf numFmtId="0" fontId="16" fillId="4" borderId="9" xfId="0" applyFont="1" applyFill="1" applyBorder="1" applyAlignment="1" applyProtection="1">
      <alignment horizontal="left" vertical="center"/>
    </xf>
    <xf numFmtId="0" fontId="16" fillId="4" borderId="9" xfId="0" applyNumberFormat="1" applyFont="1" applyFill="1" applyBorder="1" applyAlignment="1" applyProtection="1">
      <alignment horizontal="center" vertical="center"/>
    </xf>
    <xf numFmtId="178" fontId="10" fillId="4" borderId="9" xfId="0" applyNumberFormat="1" applyFont="1" applyFill="1" applyBorder="1" applyAlignment="1" applyProtection="1">
      <alignment horizontal="center" vertical="center" wrapText="1"/>
    </xf>
    <xf numFmtId="0" fontId="11" fillId="4" borderId="9" xfId="0" applyNumberFormat="1" applyFont="1" applyFill="1" applyBorder="1" applyAlignment="1" applyProtection="1">
      <alignment horizontal="center" vertical="center" wrapText="1"/>
    </xf>
    <xf numFmtId="176" fontId="12" fillId="4" borderId="9" xfId="0" applyNumberFormat="1" applyFont="1" applyFill="1" applyBorder="1" applyAlignment="1" applyProtection="1">
      <alignment horizontal="center" vertical="center"/>
    </xf>
    <xf numFmtId="0" fontId="10" fillId="0" borderId="9"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22" fillId="0" borderId="0" xfId="0" applyFont="1" applyAlignment="1" applyProtection="1">
      <alignment vertical="center"/>
    </xf>
    <xf numFmtId="0" fontId="10" fillId="4" borderId="9" xfId="0" applyFont="1" applyFill="1" applyBorder="1" applyAlignment="1" applyProtection="1">
      <alignment horizontal="center"/>
    </xf>
    <xf numFmtId="0" fontId="10" fillId="0" borderId="9" xfId="0" applyFont="1" applyFill="1" applyBorder="1" applyAlignment="1" applyProtection="1">
      <alignment horizontal="center" vertical="center"/>
    </xf>
    <xf numFmtId="176" fontId="10" fillId="5" borderId="9" xfId="0" applyNumberFormat="1" applyFont="1" applyFill="1" applyBorder="1" applyAlignment="1" applyProtection="1">
      <alignment horizontal="center" vertical="center" wrapText="1"/>
      <protection locked="0"/>
    </xf>
    <xf numFmtId="178" fontId="10" fillId="4" borderId="9" xfId="0" applyNumberFormat="1" applyFont="1" applyFill="1" applyBorder="1" applyAlignment="1" applyProtection="1">
      <alignment horizontal="center" vertical="center"/>
    </xf>
    <xf numFmtId="0" fontId="20" fillId="4" borderId="9" xfId="0" applyFont="1" applyFill="1" applyBorder="1" applyAlignment="1">
      <alignment horizontal="left"/>
    </xf>
    <xf numFmtId="9" fontId="10" fillId="4" borderId="9" xfId="0" applyNumberFormat="1" applyFont="1" applyFill="1" applyBorder="1" applyAlignment="1" applyProtection="1">
      <alignment horizontal="center" vertical="center"/>
    </xf>
    <xf numFmtId="0" fontId="0" fillId="4" borderId="9" xfId="0" applyFill="1" applyBorder="1" applyAlignment="1" applyProtection="1">
      <alignment horizontal="center" vertical="center"/>
    </xf>
    <xf numFmtId="0" fontId="24" fillId="0" borderId="9" xfId="0" applyFont="1" applyBorder="1" applyAlignment="1">
      <alignment horizontal="center" vertical="center"/>
    </xf>
    <xf numFmtId="0" fontId="16" fillId="4" borderId="9" xfId="0" applyFont="1" applyFill="1" applyBorder="1" applyAlignment="1" applyProtection="1">
      <alignment vertical="center"/>
    </xf>
    <xf numFmtId="0" fontId="12" fillId="4" borderId="9" xfId="0" applyNumberFormat="1" applyFont="1" applyFill="1" applyBorder="1" applyAlignment="1" applyProtection="1">
      <alignment horizontal="center" vertical="center"/>
      <protection locked="0"/>
    </xf>
    <xf numFmtId="179" fontId="12" fillId="7" borderId="3" xfId="0" applyNumberFormat="1" applyFont="1" applyFill="1" applyBorder="1" applyAlignment="1" applyProtection="1">
      <alignment horizontal="center" vertical="center"/>
    </xf>
    <xf numFmtId="178" fontId="12" fillId="7" borderId="3" xfId="0" applyNumberFormat="1" applyFont="1" applyFill="1" applyBorder="1" applyAlignment="1" applyProtection="1">
      <alignment horizontal="center" vertical="center"/>
    </xf>
    <xf numFmtId="176" fontId="12" fillId="7" borderId="3" xfId="0" applyNumberFormat="1" applyFont="1" applyFill="1" applyBorder="1" applyAlignment="1" applyProtection="1">
      <alignment horizontal="center" vertical="center"/>
    </xf>
    <xf numFmtId="178" fontId="28" fillId="7" borderId="3" xfId="0" applyNumberFormat="1" applyFont="1" applyFill="1" applyBorder="1" applyAlignment="1" applyProtection="1">
      <alignment horizontal="center" vertical="center" wrapText="1"/>
    </xf>
    <xf numFmtId="179" fontId="12" fillId="7" borderId="4" xfId="0" applyNumberFormat="1" applyFont="1" applyFill="1" applyBorder="1" applyAlignment="1" applyProtection="1">
      <alignment horizontal="center" vertical="center"/>
    </xf>
    <xf numFmtId="176" fontId="7" fillId="0" borderId="0" xfId="0" applyNumberFormat="1" applyFont="1" applyAlignment="1" applyProtection="1">
      <alignment vertical="center"/>
    </xf>
    <xf numFmtId="176" fontId="11" fillId="4" borderId="22" xfId="0" applyNumberFormat="1" applyFont="1" applyFill="1" applyBorder="1" applyAlignment="1" applyProtection="1">
      <alignment horizontal="left" vertical="center"/>
    </xf>
    <xf numFmtId="0" fontId="12" fillId="0" borderId="23" xfId="0" applyNumberFormat="1" applyFont="1" applyBorder="1" applyAlignment="1" applyProtection="1">
      <alignment horizontal="center" vertical="center" wrapText="1"/>
    </xf>
    <xf numFmtId="176" fontId="12" fillId="5" borderId="23" xfId="0" applyNumberFormat="1" applyFont="1" applyFill="1" applyBorder="1" applyAlignment="1" applyProtection="1">
      <alignment horizontal="center" vertical="center"/>
      <protection locked="0"/>
    </xf>
    <xf numFmtId="176" fontId="12" fillId="4" borderId="23" xfId="0" applyNumberFormat="1" applyFont="1" applyFill="1" applyBorder="1" applyAlignment="1" applyProtection="1">
      <alignment horizontal="center" vertical="center"/>
      <protection locked="0"/>
    </xf>
    <xf numFmtId="0" fontId="12" fillId="4" borderId="23" xfId="0" applyNumberFormat="1" applyFont="1" applyFill="1" applyBorder="1" applyAlignment="1" applyProtection="1">
      <alignment horizontal="center" vertical="center" wrapText="1"/>
    </xf>
    <xf numFmtId="178" fontId="12" fillId="0" borderId="23" xfId="0" applyNumberFormat="1" applyFont="1" applyBorder="1" applyAlignment="1" applyProtection="1">
      <alignment horizontal="center" vertical="center"/>
    </xf>
    <xf numFmtId="176" fontId="12" fillId="0" borderId="23" xfId="0" applyNumberFormat="1" applyFont="1" applyBorder="1" applyAlignment="1" applyProtection="1">
      <alignment horizontal="center" vertical="center"/>
    </xf>
    <xf numFmtId="178" fontId="12" fillId="0" borderId="23" xfId="0" applyNumberFormat="1" applyFont="1" applyBorder="1" applyAlignment="1" applyProtection="1">
      <alignment horizontal="center" vertical="center" wrapText="1"/>
    </xf>
    <xf numFmtId="0" fontId="11" fillId="0" borderId="23" xfId="0" applyFont="1" applyBorder="1" applyAlignment="1" applyProtection="1">
      <alignment horizontal="center" vertical="center"/>
    </xf>
    <xf numFmtId="176" fontId="11" fillId="4" borderId="8" xfId="0" applyNumberFormat="1" applyFont="1" applyFill="1" applyBorder="1" applyAlignment="1" applyProtection="1">
      <alignment horizontal="left" vertical="center"/>
    </xf>
    <xf numFmtId="176" fontId="12" fillId="5" borderId="9" xfId="0" applyNumberFormat="1" applyFont="1" applyFill="1" applyBorder="1" applyAlignment="1" applyProtection="1">
      <alignment horizontal="center" vertical="center"/>
      <protection locked="0"/>
    </xf>
    <xf numFmtId="176" fontId="12" fillId="4" borderId="9" xfId="0" applyNumberFormat="1" applyFont="1" applyFill="1" applyBorder="1" applyAlignment="1" applyProtection="1">
      <alignment horizontal="center" vertical="center"/>
      <protection locked="0"/>
    </xf>
    <xf numFmtId="176" fontId="10" fillId="4" borderId="18" xfId="0" applyNumberFormat="1" applyFont="1" applyFill="1" applyBorder="1" applyAlignment="1" applyProtection="1">
      <alignment horizontal="left" vertical="center" wrapText="1"/>
    </xf>
    <xf numFmtId="176" fontId="7" fillId="0" borderId="0" xfId="0" applyNumberFormat="1" applyFont="1" applyBorder="1" applyAlignment="1" applyProtection="1">
      <alignment vertical="center"/>
    </xf>
    <xf numFmtId="176" fontId="10" fillId="7" borderId="2" xfId="0" applyNumberFormat="1" applyFont="1" applyFill="1" applyBorder="1" applyAlignment="1" applyProtection="1">
      <alignment horizontal="left" vertical="center" wrapText="1"/>
    </xf>
    <xf numFmtId="176" fontId="10" fillId="7" borderId="3" xfId="0" applyNumberFormat="1" applyFont="1" applyFill="1" applyBorder="1" applyAlignment="1" applyProtection="1">
      <alignment horizontal="left" vertical="center" wrapText="1"/>
    </xf>
    <xf numFmtId="176" fontId="10" fillId="4" borderId="0" xfId="0" applyNumberFormat="1" applyFont="1" applyFill="1" applyBorder="1" applyAlignment="1" applyProtection="1">
      <alignment horizontal="left" vertical="center" wrapText="1"/>
    </xf>
    <xf numFmtId="176" fontId="10" fillId="4" borderId="26" xfId="0" applyNumberFormat="1" applyFont="1" applyFill="1" applyBorder="1" applyAlignment="1" applyProtection="1">
      <alignment horizontal="left" vertical="center" wrapText="1"/>
    </xf>
    <xf numFmtId="176" fontId="10" fillId="4" borderId="8" xfId="0" applyNumberFormat="1" applyFont="1" applyFill="1" applyBorder="1" applyAlignment="1" applyProtection="1">
      <alignment horizontal="left" vertical="center" wrapText="1"/>
    </xf>
    <xf numFmtId="176" fontId="10" fillId="7" borderId="27" xfId="0" applyNumberFormat="1" applyFont="1" applyFill="1" applyBorder="1" applyAlignment="1" applyProtection="1">
      <alignment horizontal="left" vertical="center" wrapText="1"/>
    </xf>
    <xf numFmtId="176" fontId="10" fillId="7" borderId="8" xfId="0" applyNumberFormat="1" applyFont="1" applyFill="1" applyBorder="1" applyAlignment="1" applyProtection="1">
      <alignment horizontal="left" vertical="center" wrapText="1"/>
    </xf>
    <xf numFmtId="178" fontId="12" fillId="0" borderId="14" xfId="0" applyNumberFormat="1" applyFont="1" applyBorder="1" applyAlignment="1" applyProtection="1">
      <alignment horizontal="center" vertical="center" wrapText="1"/>
    </xf>
    <xf numFmtId="176" fontId="11" fillId="0" borderId="20" xfId="0" applyNumberFormat="1" applyFont="1" applyBorder="1" applyAlignment="1" applyProtection="1">
      <alignment horizontal="left" vertical="top" wrapText="1"/>
    </xf>
    <xf numFmtId="176" fontId="7" fillId="4" borderId="0" xfId="0" applyNumberFormat="1" applyFont="1" applyFill="1" applyAlignment="1" applyProtection="1">
      <alignment vertical="center"/>
    </xf>
    <xf numFmtId="176" fontId="9" fillId="0" borderId="0" xfId="0" applyNumberFormat="1" applyFont="1" applyAlignment="1" applyProtection="1">
      <alignment horizontal="center" vertical="center"/>
    </xf>
    <xf numFmtId="0" fontId="7" fillId="0" borderId="0" xfId="0" applyFont="1" applyAlignment="1" applyProtection="1">
      <alignment horizontal="left" vertical="center"/>
    </xf>
    <xf numFmtId="177" fontId="9" fillId="0" borderId="0" xfId="0" applyNumberFormat="1" applyFont="1" applyAlignment="1" applyProtection="1">
      <alignment horizontal="center" vertical="center"/>
    </xf>
    <xf numFmtId="177" fontId="9" fillId="0" borderId="0" xfId="0" applyNumberFormat="1" applyFont="1" applyAlignment="1" applyProtection="1">
      <alignment horizontal="center" vertical="center" wrapText="1"/>
    </xf>
    <xf numFmtId="0" fontId="11" fillId="0" borderId="0" xfId="0" applyFont="1" applyAlignment="1" applyProtection="1">
      <alignment horizontal="left" vertical="center" wrapText="1"/>
    </xf>
    <xf numFmtId="0" fontId="0" fillId="4" borderId="0" xfId="0" applyFill="1">
      <alignment vertical="center"/>
    </xf>
    <xf numFmtId="177" fontId="25" fillId="0" borderId="9" xfId="0" applyNumberFormat="1" applyFont="1" applyFill="1" applyBorder="1" applyAlignment="1">
      <alignment horizontal="center" vertical="center"/>
    </xf>
    <xf numFmtId="176" fontId="25" fillId="0" borderId="9" xfId="0" applyNumberFormat="1" applyFont="1" applyFill="1" applyBorder="1" applyAlignment="1">
      <alignment horizontal="center" vertical="center"/>
    </xf>
    <xf numFmtId="177" fontId="19" fillId="4" borderId="9" xfId="0" applyNumberFormat="1" applyFont="1" applyFill="1" applyBorder="1" applyAlignment="1" applyProtection="1">
      <alignment horizontal="center" vertical="center"/>
    </xf>
    <xf numFmtId="176" fontId="19" fillId="5" borderId="9" xfId="0" applyNumberFormat="1" applyFont="1" applyFill="1" applyBorder="1" applyAlignment="1" applyProtection="1">
      <alignment horizontal="center" vertical="center"/>
    </xf>
    <xf numFmtId="176" fontId="19" fillId="0" borderId="9" xfId="0" applyNumberFormat="1" applyFont="1" applyFill="1" applyBorder="1" applyAlignment="1" applyProtection="1">
      <alignment horizontal="center" vertical="center"/>
    </xf>
    <xf numFmtId="176" fontId="25" fillId="4" borderId="9" xfId="0" applyNumberFormat="1" applyFont="1" applyFill="1" applyBorder="1" applyAlignment="1">
      <alignment horizontal="center" vertical="center"/>
    </xf>
    <xf numFmtId="0" fontId="17" fillId="4" borderId="9" xfId="0" applyFont="1" applyFill="1" applyBorder="1" applyAlignment="1">
      <alignment horizontal="left" vertical="center"/>
    </xf>
    <xf numFmtId="179" fontId="26" fillId="4" borderId="9" xfId="0" applyNumberFormat="1" applyFont="1" applyFill="1" applyBorder="1" applyAlignment="1">
      <alignment horizontal="center" vertical="center" wrapText="1"/>
    </xf>
    <xf numFmtId="0" fontId="20" fillId="4" borderId="9" xfId="0" applyFont="1" applyFill="1" applyBorder="1" applyAlignment="1">
      <alignment vertical="center" wrapText="1"/>
    </xf>
    <xf numFmtId="0" fontId="26" fillId="4" borderId="9" xfId="0" applyFont="1" applyFill="1" applyBorder="1" applyAlignment="1">
      <alignment vertical="center" wrapText="1"/>
    </xf>
    <xf numFmtId="178" fontId="19" fillId="4" borderId="9" xfId="0" applyNumberFormat="1" applyFont="1" applyFill="1" applyBorder="1" applyAlignment="1">
      <alignment horizontal="center" vertical="center" wrapText="1"/>
    </xf>
    <xf numFmtId="176" fontId="19" fillId="0" borderId="9" xfId="0" applyNumberFormat="1" applyFont="1" applyBorder="1" applyAlignment="1">
      <alignment horizontal="center" vertical="center"/>
    </xf>
    <xf numFmtId="0" fontId="20" fillId="4" borderId="9" xfId="0" applyFont="1" applyFill="1" applyBorder="1" applyAlignment="1" applyProtection="1">
      <alignment horizontal="left" vertical="center"/>
    </xf>
    <xf numFmtId="181" fontId="19" fillId="4" borderId="9" xfId="0" applyNumberFormat="1" applyFont="1" applyFill="1" applyBorder="1" applyAlignment="1">
      <alignment horizontal="center" vertical="center"/>
    </xf>
    <xf numFmtId="0" fontId="33" fillId="4" borderId="9"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25" fillId="4" borderId="9" xfId="3" applyFont="1" applyFill="1" applyBorder="1" applyAlignment="1" applyProtection="1">
      <alignment vertical="center" wrapText="1"/>
    </xf>
    <xf numFmtId="179" fontId="25" fillId="4" borderId="9" xfId="3" applyNumberFormat="1" applyFont="1" applyFill="1" applyBorder="1" applyAlignment="1">
      <alignment horizontal="center" vertical="center"/>
    </xf>
    <xf numFmtId="0" fontId="25" fillId="4" borderId="9" xfId="3" applyFont="1" applyFill="1" applyBorder="1" applyAlignment="1" applyProtection="1">
      <alignment horizontal="center" vertical="center" wrapText="1"/>
    </xf>
    <xf numFmtId="176" fontId="33" fillId="4" borderId="9" xfId="0" applyNumberFormat="1" applyFont="1" applyFill="1" applyBorder="1" applyAlignment="1" applyProtection="1">
      <alignment horizontal="center" vertical="center" wrapText="1"/>
    </xf>
    <xf numFmtId="177" fontId="19" fillId="0" borderId="9" xfId="0" applyNumberFormat="1" applyFont="1" applyBorder="1" applyAlignment="1">
      <alignment horizontal="center" vertical="center"/>
    </xf>
    <xf numFmtId="0" fontId="0" fillId="4" borderId="0" xfId="0" applyFill="1" applyBorder="1" applyAlignment="1">
      <alignment horizontal="left" vertical="center" wrapText="1"/>
    </xf>
    <xf numFmtId="0" fontId="0" fillId="4" borderId="0" xfId="0" applyFill="1" applyBorder="1" applyAlignment="1">
      <alignment horizontal="left" vertical="center"/>
    </xf>
    <xf numFmtId="0" fontId="0" fillId="4" borderId="0" xfId="0" applyFill="1" applyAlignment="1">
      <alignment horizontal="left" vertical="center"/>
    </xf>
    <xf numFmtId="0" fontId="33" fillId="4" borderId="0" xfId="0" applyFont="1" applyFill="1" applyAlignment="1">
      <alignment horizontal="center" vertical="center"/>
    </xf>
    <xf numFmtId="0" fontId="0" fillId="4" borderId="0" xfId="0" applyFill="1" applyAlignment="1">
      <alignment horizontal="center" vertical="center"/>
    </xf>
    <xf numFmtId="176" fontId="0" fillId="4" borderId="0" xfId="0" applyNumberFormat="1" applyFill="1" applyAlignment="1">
      <alignment horizontal="center" vertical="center"/>
    </xf>
    <xf numFmtId="0" fontId="0" fillId="4" borderId="0" xfId="0" applyFill="1" applyAlignment="1">
      <alignment vertical="center"/>
    </xf>
    <xf numFmtId="0" fontId="37" fillId="4" borderId="0" xfId="0" applyFont="1" applyFill="1" applyAlignment="1">
      <alignment horizontal="left" vertical="center"/>
    </xf>
    <xf numFmtId="0" fontId="11" fillId="4" borderId="0" xfId="0" applyFont="1" applyFill="1" applyAlignment="1">
      <alignment horizontal="left" vertical="center" wrapText="1"/>
    </xf>
    <xf numFmtId="0" fontId="11" fillId="0" borderId="0" xfId="0" applyFont="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xf>
    <xf numFmtId="0" fontId="33"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0" fillId="4" borderId="9" xfId="0" applyFill="1" applyBorder="1" applyAlignment="1">
      <alignment horizontal="left" vertical="center"/>
    </xf>
    <xf numFmtId="0" fontId="37" fillId="0" borderId="0" xfId="0" applyFont="1" applyAlignment="1">
      <alignment horizontal="left" vertical="center"/>
    </xf>
    <xf numFmtId="0" fontId="7" fillId="0" borderId="9" xfId="0" applyFont="1" applyBorder="1" applyAlignment="1" applyProtection="1">
      <alignment horizontal="center" vertical="center"/>
    </xf>
    <xf numFmtId="178" fontId="11" fillId="0" borderId="9" xfId="0" applyNumberFormat="1" applyFont="1" applyBorder="1" applyAlignment="1" applyProtection="1">
      <alignment horizontal="center" vertical="center"/>
    </xf>
    <xf numFmtId="178" fontId="13" fillId="0" borderId="9" xfId="0" applyNumberFormat="1" applyFont="1" applyBorder="1" applyAlignment="1" applyProtection="1">
      <alignment horizontal="center" vertical="center"/>
    </xf>
    <xf numFmtId="0" fontId="11" fillId="6" borderId="9" xfId="0" applyFont="1" applyFill="1" applyBorder="1" applyAlignment="1" applyProtection="1">
      <alignment horizontal="left" vertical="center" wrapText="1"/>
    </xf>
    <xf numFmtId="176" fontId="10" fillId="4" borderId="9" xfId="0" applyNumberFormat="1" applyFont="1" applyFill="1" applyBorder="1" applyAlignment="1" applyProtection="1">
      <alignment horizontal="center" vertical="center" wrapText="1"/>
      <protection locked="0"/>
    </xf>
    <xf numFmtId="0" fontId="16" fillId="4" borderId="9" xfId="0" applyFont="1" applyFill="1" applyBorder="1" applyAlignment="1" applyProtection="1">
      <alignment horizontal="center" vertical="center"/>
    </xf>
    <xf numFmtId="0" fontId="34" fillId="4" borderId="9" xfId="0" applyFont="1" applyFill="1" applyBorder="1" applyAlignment="1">
      <alignment horizontal="center" vertical="center"/>
    </xf>
    <xf numFmtId="0" fontId="16" fillId="4" borderId="9" xfId="0" applyFont="1" applyFill="1" applyBorder="1" applyAlignment="1" applyProtection="1">
      <alignment horizontal="left" vertical="center" wrapText="1"/>
    </xf>
    <xf numFmtId="176" fontId="25" fillId="4" borderId="9" xfId="0" applyNumberFormat="1" applyFont="1" applyFill="1" applyBorder="1" applyAlignment="1" applyProtection="1">
      <alignment horizontal="center" vertical="center"/>
    </xf>
    <xf numFmtId="176" fontId="12" fillId="0" borderId="20" xfId="0" applyNumberFormat="1" applyFont="1" applyBorder="1" applyAlignment="1" applyProtection="1">
      <alignment horizontal="left" vertical="top" wrapText="1"/>
    </xf>
    <xf numFmtId="0" fontId="28" fillId="0" borderId="0" xfId="0" applyFont="1" applyAlignment="1" applyProtection="1">
      <alignment horizontal="left" vertical="center"/>
    </xf>
    <xf numFmtId="179" fontId="12" fillId="7" borderId="19" xfId="0" applyNumberFormat="1" applyFont="1" applyFill="1" applyBorder="1" applyAlignment="1" applyProtection="1">
      <alignment horizontal="center" vertical="center"/>
    </xf>
    <xf numFmtId="178" fontId="12" fillId="7" borderId="19" xfId="0" applyNumberFormat="1" applyFont="1" applyFill="1" applyBorder="1" applyAlignment="1" applyProtection="1">
      <alignment horizontal="center" vertical="center"/>
    </xf>
    <xf numFmtId="176" fontId="12" fillId="7" borderId="19" xfId="0" applyNumberFormat="1" applyFont="1" applyFill="1" applyBorder="1" applyAlignment="1" applyProtection="1">
      <alignment horizontal="center" vertical="center"/>
    </xf>
    <xf numFmtId="178" fontId="28" fillId="7" borderId="19" xfId="0" applyNumberFormat="1" applyFont="1" applyFill="1" applyBorder="1" applyAlignment="1" applyProtection="1">
      <alignment horizontal="center" vertical="center" wrapText="1"/>
    </xf>
    <xf numFmtId="179" fontId="12" fillId="7" borderId="31" xfId="0" applyNumberFormat="1" applyFont="1" applyFill="1" applyBorder="1" applyAlignment="1" applyProtection="1">
      <alignment horizontal="center" vertical="center"/>
    </xf>
    <xf numFmtId="176" fontId="10" fillId="4" borderId="9" xfId="0" applyNumberFormat="1" applyFont="1" applyFill="1" applyBorder="1" applyAlignment="1" applyProtection="1">
      <alignment horizontal="center" vertical="center"/>
    </xf>
    <xf numFmtId="0" fontId="11" fillId="4" borderId="23" xfId="0" applyFont="1" applyFill="1" applyBorder="1" applyAlignment="1" applyProtection="1">
      <alignment horizontal="left" vertical="center"/>
    </xf>
    <xf numFmtId="0" fontId="10" fillId="4" borderId="23" xfId="0" applyFont="1" applyFill="1" applyBorder="1" applyAlignment="1" applyProtection="1">
      <alignment horizontal="center" vertical="center"/>
    </xf>
    <xf numFmtId="176" fontId="12" fillId="5" borderId="23" xfId="0" applyNumberFormat="1" applyFont="1" applyFill="1" applyBorder="1" applyAlignment="1" applyProtection="1">
      <alignment horizontal="center" vertical="center" wrapText="1"/>
      <protection locked="0"/>
    </xf>
    <xf numFmtId="176" fontId="12" fillId="4" borderId="23" xfId="0" applyNumberFormat="1" applyFont="1" applyFill="1" applyBorder="1" applyAlignment="1" applyProtection="1">
      <alignment horizontal="center" vertical="center" wrapText="1"/>
      <protection locked="0"/>
    </xf>
    <xf numFmtId="0" fontId="12" fillId="0" borderId="23" xfId="0" applyFont="1" applyBorder="1" applyAlignment="1" applyProtection="1">
      <alignment horizontal="center" vertical="center"/>
    </xf>
    <xf numFmtId="176" fontId="12" fillId="4" borderId="23" xfId="0" applyNumberFormat="1" applyFont="1" applyFill="1" applyBorder="1" applyAlignment="1" applyProtection="1">
      <alignment horizontal="center" vertical="center"/>
    </xf>
    <xf numFmtId="0" fontId="11" fillId="0" borderId="23" xfId="0" applyNumberFormat="1" applyFont="1" applyBorder="1" applyAlignment="1" applyProtection="1">
      <alignment horizontal="center" vertical="center" wrapText="1"/>
    </xf>
    <xf numFmtId="0" fontId="10" fillId="0" borderId="23" xfId="0" applyNumberFormat="1" applyFont="1" applyBorder="1" applyAlignment="1" applyProtection="1">
      <alignment horizontal="center" vertical="center" wrapText="1"/>
    </xf>
    <xf numFmtId="176" fontId="12" fillId="4" borderId="34" xfId="0" applyNumberFormat="1" applyFont="1" applyFill="1" applyBorder="1" applyAlignment="1" applyProtection="1">
      <alignment horizontal="center" vertical="center" wrapText="1"/>
      <protection locked="0"/>
    </xf>
    <xf numFmtId="0" fontId="12" fillId="4" borderId="34" xfId="0" applyFont="1" applyFill="1" applyBorder="1" applyAlignment="1" applyProtection="1">
      <alignment horizontal="center" vertical="center" wrapText="1"/>
    </xf>
    <xf numFmtId="0" fontId="25" fillId="0" borderId="9" xfId="0" applyFont="1" applyBorder="1" applyAlignment="1">
      <alignment horizontal="left" vertical="center"/>
    </xf>
    <xf numFmtId="0" fontId="11" fillId="4" borderId="10" xfId="0" applyFont="1" applyFill="1" applyBorder="1" applyAlignment="1" applyProtection="1">
      <alignment vertical="center" wrapText="1"/>
    </xf>
    <xf numFmtId="0" fontId="16" fillId="0" borderId="9" xfId="0" applyFont="1" applyFill="1" applyBorder="1" applyAlignment="1" applyProtection="1">
      <alignment horizontal="left" vertical="center"/>
    </xf>
    <xf numFmtId="0" fontId="10" fillId="4" borderId="6" xfId="0" applyFont="1" applyFill="1" applyBorder="1" applyAlignment="1" applyProtection="1">
      <alignment horizontal="center" vertical="center"/>
    </xf>
    <xf numFmtId="0" fontId="44" fillId="9" borderId="22" xfId="2" applyFont="1" applyFill="1" applyBorder="1" applyAlignment="1" applyProtection="1">
      <alignment horizontal="center" vertical="center" wrapText="1"/>
    </xf>
    <xf numFmtId="0" fontId="44" fillId="9" borderId="23" xfId="2" applyFont="1" applyFill="1" applyBorder="1" applyAlignment="1" applyProtection="1">
      <alignment horizontal="center" vertical="center" wrapText="1"/>
    </xf>
    <xf numFmtId="0" fontId="44" fillId="9" borderId="23" xfId="2" applyFont="1" applyFill="1" applyBorder="1" applyAlignment="1" applyProtection="1">
      <alignment horizontal="left" vertical="center" wrapText="1"/>
    </xf>
    <xf numFmtId="0" fontId="44" fillId="9" borderId="24" xfId="2"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177" fontId="10" fillId="0" borderId="9" xfId="0" applyNumberFormat="1" applyFont="1" applyFill="1" applyBorder="1" applyAlignment="1">
      <alignment horizontal="center" vertical="center" wrapText="1"/>
    </xf>
    <xf numFmtId="0" fontId="12" fillId="6" borderId="8" xfId="0" applyFont="1" applyFill="1" applyBorder="1" applyAlignment="1" applyProtection="1">
      <alignment horizontal="center" vertical="center" wrapText="1"/>
    </xf>
    <xf numFmtId="0" fontId="12" fillId="6" borderId="9" xfId="0" applyFont="1" applyFill="1" applyBorder="1" applyAlignment="1" applyProtection="1">
      <alignment horizontal="center" vertical="center" wrapText="1"/>
    </xf>
    <xf numFmtId="183" fontId="12" fillId="6" borderId="9" xfId="0" applyNumberFormat="1" applyFont="1" applyFill="1" applyBorder="1" applyAlignment="1" applyProtection="1">
      <alignment horizontal="center" vertical="center" wrapText="1"/>
    </xf>
    <xf numFmtId="0" fontId="12" fillId="6" borderId="10" xfId="0" applyFont="1" applyFill="1" applyBorder="1" applyAlignment="1" applyProtection="1">
      <alignment horizontal="center" vertical="center" wrapText="1"/>
    </xf>
    <xf numFmtId="0" fontId="24" fillId="0" borderId="40" xfId="0" applyFont="1" applyBorder="1" applyAlignment="1">
      <alignment horizontal="center" vertical="center" wrapText="1"/>
    </xf>
    <xf numFmtId="178" fontId="10" fillId="4" borderId="9" xfId="3" applyNumberFormat="1" applyFont="1" applyFill="1" applyBorder="1" applyAlignment="1" applyProtection="1">
      <alignment horizontal="center" vertical="center" wrapText="1"/>
    </xf>
    <xf numFmtId="0" fontId="16" fillId="4" borderId="9" xfId="0" applyFont="1" applyFill="1" applyBorder="1">
      <alignment vertical="center"/>
    </xf>
    <xf numFmtId="0" fontId="11" fillId="4" borderId="9" xfId="0" applyFont="1" applyFill="1" applyBorder="1">
      <alignment vertical="center"/>
    </xf>
    <xf numFmtId="0" fontId="19" fillId="4" borderId="8" xfId="0" applyFont="1" applyFill="1" applyBorder="1" applyAlignment="1">
      <alignment horizontal="left" vertical="center" wrapText="1"/>
    </xf>
    <xf numFmtId="0" fontId="11" fillId="4" borderId="9" xfId="0" applyFont="1" applyFill="1" applyBorder="1" applyAlignment="1" applyProtection="1">
      <alignment vertical="center" wrapText="1"/>
    </xf>
    <xf numFmtId="0" fontId="16" fillId="0" borderId="9" xfId="0" applyFont="1" applyBorder="1" applyAlignment="1" applyProtection="1">
      <alignment horizontal="center" vertical="center"/>
    </xf>
    <xf numFmtId="0" fontId="19" fillId="0" borderId="9" xfId="0" applyFont="1" applyBorder="1" applyAlignment="1">
      <alignment horizontal="center" vertical="center"/>
    </xf>
    <xf numFmtId="0" fontId="12" fillId="6" borderId="9" xfId="0" applyFont="1" applyFill="1" applyBorder="1" applyAlignment="1" applyProtection="1">
      <alignment horizontal="left" vertical="center" wrapText="1"/>
    </xf>
    <xf numFmtId="178" fontId="11" fillId="6" borderId="9" xfId="0" applyNumberFormat="1" applyFont="1" applyFill="1" applyBorder="1" applyAlignment="1" applyProtection="1">
      <alignment vertical="center" wrapText="1"/>
    </xf>
    <xf numFmtId="0" fontId="12" fillId="6" borderId="9" xfId="0" applyFont="1" applyFill="1" applyBorder="1" applyAlignment="1" applyProtection="1">
      <alignment horizontal="center" vertical="center" wrapText="1"/>
      <protection locked="0"/>
    </xf>
    <xf numFmtId="177" fontId="12" fillId="6" borderId="9" xfId="0" applyNumberFormat="1" applyFont="1" applyFill="1" applyBorder="1" applyAlignment="1" applyProtection="1">
      <alignment horizontal="center" vertical="center" wrapText="1"/>
    </xf>
    <xf numFmtId="0" fontId="11" fillId="6" borderId="43" xfId="0" applyFont="1" applyFill="1" applyBorder="1" applyAlignment="1" applyProtection="1">
      <alignment horizontal="left" vertical="center" wrapText="1"/>
    </xf>
    <xf numFmtId="0" fontId="20" fillId="4" borderId="46" xfId="0" applyFont="1" applyFill="1" applyBorder="1" applyAlignment="1">
      <alignment horizontal="left" vertical="center"/>
    </xf>
    <xf numFmtId="176" fontId="12" fillId="7" borderId="8" xfId="0" applyNumberFormat="1" applyFont="1" applyFill="1" applyBorder="1" applyAlignment="1" applyProtection="1">
      <alignment horizontal="left" vertical="center" wrapText="1"/>
    </xf>
    <xf numFmtId="179" fontId="12" fillId="7" borderId="9" xfId="0" applyNumberFormat="1" applyFont="1" applyFill="1" applyBorder="1" applyAlignment="1" applyProtection="1">
      <alignment horizontal="left" vertical="center"/>
    </xf>
    <xf numFmtId="179" fontId="12" fillId="7" borderId="9" xfId="0" applyNumberFormat="1" applyFont="1" applyFill="1" applyBorder="1" applyAlignment="1" applyProtection="1">
      <alignment horizontal="center" vertical="center"/>
    </xf>
    <xf numFmtId="178" fontId="12" fillId="7" borderId="9" xfId="0" applyNumberFormat="1" applyFont="1" applyFill="1" applyBorder="1" applyAlignment="1" applyProtection="1">
      <alignment horizontal="center" vertical="center"/>
    </xf>
    <xf numFmtId="178" fontId="28" fillId="7" borderId="9" xfId="0" applyNumberFormat="1" applyFont="1" applyFill="1" applyBorder="1" applyAlignment="1" applyProtection="1">
      <alignment horizontal="center" vertical="center" wrapText="1"/>
    </xf>
    <xf numFmtId="179" fontId="12" fillId="7" borderId="43" xfId="0" applyNumberFormat="1" applyFont="1" applyFill="1" applyBorder="1" applyAlignment="1" applyProtection="1">
      <alignment horizontal="center" vertical="center"/>
    </xf>
    <xf numFmtId="176" fontId="11" fillId="0" borderId="40" xfId="0" applyNumberFormat="1" applyFont="1" applyBorder="1" applyAlignment="1" applyProtection="1">
      <alignment horizontal="center" vertical="center" wrapText="1"/>
    </xf>
    <xf numFmtId="0" fontId="25" fillId="4" borderId="12" xfId="0" applyFont="1" applyFill="1" applyBorder="1" applyAlignment="1">
      <alignment horizontal="center" vertical="center"/>
    </xf>
    <xf numFmtId="0" fontId="18" fillId="4" borderId="42" xfId="0" applyFont="1" applyFill="1" applyBorder="1" applyAlignment="1">
      <alignment horizontal="left" vertical="center" wrapText="1"/>
    </xf>
    <xf numFmtId="0" fontId="33" fillId="4" borderId="9" xfId="0" applyFont="1" applyFill="1" applyBorder="1" applyAlignment="1">
      <alignment horizontal="left" vertical="center"/>
    </xf>
    <xf numFmtId="58" fontId="33" fillId="4" borderId="9" xfId="0" applyNumberFormat="1" applyFont="1" applyFill="1" applyBorder="1" applyAlignment="1">
      <alignment horizontal="left" vertical="center"/>
    </xf>
    <xf numFmtId="0" fontId="0" fillId="4" borderId="9" xfId="0" applyFill="1" applyBorder="1" applyAlignment="1">
      <alignment horizontal="center" vertical="center"/>
    </xf>
    <xf numFmtId="0" fontId="10" fillId="4" borderId="9" xfId="0" applyFont="1" applyFill="1" applyBorder="1" applyAlignment="1" applyProtection="1">
      <alignment horizontal="left" vertical="center" wrapText="1"/>
    </xf>
    <xf numFmtId="58" fontId="12" fillId="4" borderId="9" xfId="0" applyNumberFormat="1" applyFont="1" applyFill="1" applyBorder="1" applyAlignment="1">
      <alignment horizontal="left" vertical="center"/>
    </xf>
    <xf numFmtId="0" fontId="10" fillId="4" borderId="9" xfId="0" applyNumberFormat="1" applyFont="1" applyFill="1" applyBorder="1" applyAlignment="1" applyProtection="1">
      <alignment horizontal="center" vertical="center"/>
      <protection locked="0"/>
    </xf>
    <xf numFmtId="0" fontId="16" fillId="4" borderId="9" xfId="3" applyNumberFormat="1" applyFont="1" applyFill="1" applyBorder="1" applyAlignment="1" applyProtection="1">
      <alignment horizontal="center" vertical="center"/>
    </xf>
    <xf numFmtId="0" fontId="10" fillId="4" borderId="9" xfId="3" applyNumberFormat="1" applyFont="1" applyFill="1" applyBorder="1" applyAlignment="1" applyProtection="1">
      <alignment horizontal="center" vertical="center" wrapText="1"/>
    </xf>
    <xf numFmtId="176" fontId="11" fillId="4" borderId="40" xfId="0" applyNumberFormat="1" applyFont="1" applyFill="1" applyBorder="1" applyAlignment="1" applyProtection="1">
      <alignment horizontal="left" vertical="center" wrapText="1"/>
    </xf>
    <xf numFmtId="0" fontId="12" fillId="0" borderId="34" xfId="0" applyNumberFormat="1" applyFont="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0" fillId="0" borderId="9" xfId="0" applyBorder="1" applyAlignment="1">
      <alignment horizontal="left" vertical="center" wrapText="1"/>
    </xf>
    <xf numFmtId="0" fontId="25" fillId="5" borderId="9" xfId="0" applyFont="1" applyFill="1" applyBorder="1" applyAlignment="1" applyProtection="1">
      <alignment horizontal="center" vertical="center"/>
      <protection locked="0"/>
    </xf>
    <xf numFmtId="177" fontId="25" fillId="4" borderId="9" xfId="0" applyNumberFormat="1" applyFont="1" applyFill="1" applyBorder="1" applyAlignment="1" applyProtection="1">
      <alignment horizontal="center" vertical="center"/>
    </xf>
    <xf numFmtId="179" fontId="25" fillId="4" borderId="9" xfId="0" applyNumberFormat="1" applyFont="1" applyFill="1" applyBorder="1" applyAlignment="1">
      <alignment horizontal="center" vertical="center" wrapText="1"/>
    </xf>
    <xf numFmtId="0" fontId="8" fillId="11" borderId="36" xfId="2" applyFont="1" applyFill="1" applyBorder="1" applyAlignment="1" applyProtection="1">
      <alignment horizontal="left" vertical="center" wrapText="1"/>
    </xf>
    <xf numFmtId="0" fontId="8" fillId="11" borderId="37" xfId="2" applyFont="1" applyFill="1" applyBorder="1" applyAlignment="1" applyProtection="1">
      <alignment horizontal="center" vertical="center" wrapText="1"/>
    </xf>
    <xf numFmtId="0" fontId="8" fillId="11" borderId="38" xfId="2" applyFont="1" applyFill="1" applyBorder="1" applyAlignment="1" applyProtection="1">
      <alignment horizontal="center" vertical="center"/>
    </xf>
    <xf numFmtId="176" fontId="8" fillId="11" borderId="38" xfId="2" applyNumberFormat="1" applyFont="1" applyFill="1" applyBorder="1" applyAlignment="1" applyProtection="1">
      <alignment horizontal="center" vertical="center"/>
    </xf>
    <xf numFmtId="177" fontId="8" fillId="11" borderId="38" xfId="2" applyNumberFormat="1" applyFont="1" applyFill="1" applyBorder="1" applyAlignment="1" applyProtection="1">
      <alignment horizontal="center" vertical="center"/>
    </xf>
    <xf numFmtId="176" fontId="8" fillId="11" borderId="38" xfId="2" applyNumberFormat="1" applyFont="1" applyFill="1" applyBorder="1" applyAlignment="1" applyProtection="1">
      <alignment horizontal="center" vertical="center" wrapText="1"/>
    </xf>
    <xf numFmtId="177" fontId="8" fillId="11" borderId="38" xfId="2" applyNumberFormat="1" applyFont="1" applyFill="1" applyBorder="1" applyAlignment="1" applyProtection="1">
      <alignment horizontal="center" vertical="center" wrapText="1"/>
    </xf>
    <xf numFmtId="0" fontId="8" fillId="11" borderId="38" xfId="2" applyFont="1" applyFill="1" applyBorder="1" applyAlignment="1" applyProtection="1">
      <alignment horizontal="center" vertical="center" wrapText="1"/>
    </xf>
    <xf numFmtId="0" fontId="8" fillId="11" borderId="39" xfId="2" applyFont="1" applyFill="1" applyBorder="1" applyAlignment="1" applyProtection="1">
      <alignment horizontal="center" vertical="center" wrapText="1"/>
    </xf>
    <xf numFmtId="0" fontId="19" fillId="4" borderId="9" xfId="0" applyFont="1" applyFill="1" applyBorder="1" applyAlignment="1" applyProtection="1">
      <alignment vertical="center" wrapText="1"/>
    </xf>
    <xf numFmtId="0" fontId="16" fillId="4" borderId="9" xfId="3" applyFont="1" applyFill="1" applyBorder="1" applyAlignment="1">
      <alignment horizontal="left" vertical="center"/>
    </xf>
    <xf numFmtId="0" fontId="12" fillId="4" borderId="9" xfId="0" applyFont="1" applyFill="1" applyBorder="1" applyAlignment="1" applyProtection="1">
      <alignment vertical="center"/>
    </xf>
    <xf numFmtId="0" fontId="11" fillId="4" borderId="9" xfId="0" applyFont="1" applyFill="1" applyBorder="1" applyAlignment="1" applyProtection="1">
      <alignment vertical="center"/>
    </xf>
    <xf numFmtId="0" fontId="11" fillId="0" borderId="9" xfId="0" applyFont="1" applyBorder="1" applyAlignment="1">
      <alignment horizontal="left" vertical="center" wrapText="1"/>
    </xf>
    <xf numFmtId="176" fontId="33" fillId="4" borderId="6" xfId="0" applyNumberFormat="1" applyFont="1" applyFill="1" applyBorder="1" applyAlignment="1" applyProtection="1">
      <alignment horizontal="center" vertical="center" wrapText="1"/>
    </xf>
    <xf numFmtId="178" fontId="25" fillId="4" borderId="6" xfId="0" applyNumberFormat="1" applyFont="1" applyFill="1" applyBorder="1" applyAlignment="1">
      <alignment horizontal="center" vertical="center"/>
    </xf>
    <xf numFmtId="177" fontId="19" fillId="0" borderId="6" xfId="0" applyNumberFormat="1" applyFont="1" applyBorder="1" applyAlignment="1">
      <alignment horizontal="center" vertical="center"/>
    </xf>
    <xf numFmtId="176" fontId="19" fillId="0" borderId="6" xfId="0" applyNumberFormat="1" applyFont="1" applyBorder="1" applyAlignment="1">
      <alignment horizontal="center" vertical="center"/>
    </xf>
    <xf numFmtId="0" fontId="12" fillId="0" borderId="6" xfId="0" applyNumberFormat="1" applyFont="1" applyBorder="1" applyAlignment="1" applyProtection="1">
      <alignment horizontal="center" vertical="center" wrapText="1"/>
    </xf>
    <xf numFmtId="0" fontId="11" fillId="0" borderId="6" xfId="0" applyFont="1" applyBorder="1" applyAlignment="1">
      <alignment horizontal="left" vertical="center" wrapText="1"/>
    </xf>
    <xf numFmtId="0" fontId="12" fillId="6" borderId="2" xfId="0" applyFont="1" applyFill="1" applyBorder="1" applyAlignment="1" applyProtection="1">
      <alignment horizontal="left" vertical="center" wrapText="1"/>
    </xf>
    <xf numFmtId="0" fontId="11" fillId="6" borderId="3" xfId="0" applyFont="1" applyFill="1" applyBorder="1" applyAlignment="1" applyProtection="1">
      <alignment horizontal="left" vertical="center" wrapText="1"/>
    </xf>
    <xf numFmtId="0" fontId="33" fillId="6" borderId="3" xfId="0" applyFont="1" applyFill="1" applyBorder="1" applyAlignment="1" applyProtection="1">
      <alignment horizontal="center" vertical="center" wrapText="1"/>
    </xf>
    <xf numFmtId="178" fontId="11" fillId="6" borderId="3" xfId="0" applyNumberFormat="1" applyFont="1" applyFill="1" applyBorder="1" applyAlignment="1" applyProtection="1">
      <alignment horizontal="center" vertical="center" wrapText="1"/>
    </xf>
    <xf numFmtId="176" fontId="35" fillId="6" borderId="3" xfId="0" applyNumberFormat="1" applyFont="1" applyFill="1" applyBorder="1" applyAlignment="1" applyProtection="1">
      <alignment horizontal="center" vertical="center"/>
      <protection locked="0"/>
    </xf>
    <xf numFmtId="177" fontId="12" fillId="6" borderId="3" xfId="0" applyNumberFormat="1" applyFont="1" applyFill="1" applyBorder="1" applyAlignment="1">
      <alignment horizontal="center" vertical="center"/>
    </xf>
    <xf numFmtId="176" fontId="36" fillId="6" borderId="3" xfId="0" applyNumberFormat="1" applyFont="1" applyFill="1" applyBorder="1" applyAlignment="1">
      <alignment horizontal="center" vertical="center"/>
    </xf>
    <xf numFmtId="182" fontId="36" fillId="6" borderId="3" xfId="0" applyNumberFormat="1" applyFont="1" applyFill="1" applyBorder="1" applyAlignment="1">
      <alignment horizontal="center" vertical="center"/>
    </xf>
    <xf numFmtId="182" fontId="36" fillId="6" borderId="3" xfId="0" applyNumberFormat="1" applyFont="1" applyFill="1" applyBorder="1" applyAlignment="1">
      <alignment horizontal="left" vertical="center"/>
    </xf>
    <xf numFmtId="0" fontId="11" fillId="6" borderId="4" xfId="0" applyFont="1" applyFill="1" applyBorder="1" applyAlignment="1" applyProtection="1">
      <alignment horizontal="left" vertical="center" wrapText="1"/>
    </xf>
    <xf numFmtId="0" fontId="12" fillId="0" borderId="13" xfId="0" applyNumberFormat="1" applyFont="1" applyBorder="1" applyAlignment="1" applyProtection="1">
      <alignment horizontal="center" vertical="center" wrapText="1"/>
    </xf>
    <xf numFmtId="0" fontId="33" fillId="4" borderId="14" xfId="0" applyFont="1" applyFill="1" applyBorder="1" applyAlignment="1" applyProtection="1">
      <alignment horizontal="center" vertical="center" wrapText="1"/>
    </xf>
    <xf numFmtId="178" fontId="19" fillId="4" borderId="14" xfId="0" applyNumberFormat="1" applyFont="1" applyFill="1" applyBorder="1" applyAlignment="1">
      <alignment horizontal="center" vertical="center"/>
    </xf>
    <xf numFmtId="176" fontId="19" fillId="4" borderId="14" xfId="0" applyNumberFormat="1" applyFont="1" applyFill="1" applyBorder="1" applyAlignment="1">
      <alignment horizontal="center" vertical="center"/>
    </xf>
    <xf numFmtId="179" fontId="19" fillId="4" borderId="14" xfId="0" applyNumberFormat="1" applyFont="1" applyFill="1" applyBorder="1" applyAlignment="1">
      <alignment horizontal="center" vertical="center" wrapText="1"/>
    </xf>
    <xf numFmtId="179" fontId="19" fillId="0" borderId="14" xfId="0" applyNumberFormat="1" applyFont="1" applyBorder="1" applyAlignment="1">
      <alignment horizontal="center" vertical="center" wrapText="1"/>
    </xf>
    <xf numFmtId="0" fontId="11" fillId="4" borderId="14" xfId="0" applyFont="1" applyFill="1" applyBorder="1" applyAlignment="1">
      <alignment horizontal="left" vertical="center" wrapText="1"/>
    </xf>
    <xf numFmtId="0" fontId="12" fillId="6" borderId="3" xfId="0" applyFont="1" applyFill="1" applyBorder="1" applyAlignment="1" applyProtection="1">
      <alignment horizontal="center" vertical="center" wrapText="1"/>
      <protection locked="0"/>
    </xf>
    <xf numFmtId="177" fontId="12" fillId="6" borderId="3" xfId="0" applyNumberFormat="1" applyFont="1" applyFill="1" applyBorder="1" applyAlignment="1" applyProtection="1">
      <alignment horizontal="center" vertical="center" wrapText="1"/>
    </xf>
    <xf numFmtId="176" fontId="12" fillId="6" borderId="3" xfId="0" applyNumberFormat="1" applyFont="1" applyFill="1" applyBorder="1" applyAlignment="1" applyProtection="1">
      <alignment horizontal="center" vertical="center" wrapText="1"/>
    </xf>
    <xf numFmtId="0" fontId="12" fillId="6" borderId="3" xfId="0" applyFont="1" applyFill="1" applyBorder="1" applyAlignment="1" applyProtection="1">
      <alignment horizontal="center" vertical="center" wrapText="1"/>
    </xf>
    <xf numFmtId="185" fontId="25" fillId="4" borderId="9" xfId="0" applyNumberFormat="1" applyFont="1" applyFill="1" applyBorder="1" applyAlignment="1">
      <alignment horizontal="center" vertical="center" wrapText="1"/>
    </xf>
    <xf numFmtId="0" fontId="25" fillId="4" borderId="9" xfId="0" applyNumberFormat="1" applyFont="1" applyFill="1" applyBorder="1" applyAlignment="1">
      <alignment horizontal="center" vertical="center" wrapText="1"/>
    </xf>
    <xf numFmtId="0" fontId="10" fillId="4" borderId="9" xfId="0" applyNumberFormat="1" applyFont="1" applyFill="1" applyBorder="1" applyAlignment="1" applyProtection="1">
      <alignment horizontal="center" vertical="center"/>
    </xf>
    <xf numFmtId="0" fontId="50" fillId="0" borderId="0" xfId="0" applyFont="1" applyAlignment="1">
      <alignment vertical="center"/>
    </xf>
    <xf numFmtId="0" fontId="52" fillId="12" borderId="22" xfId="0" applyFont="1" applyFill="1" applyBorder="1" applyAlignment="1">
      <alignment horizontal="center" vertical="center"/>
    </xf>
    <xf numFmtId="0" fontId="52" fillId="12" borderId="23" xfId="0" applyFont="1" applyFill="1" applyBorder="1" applyAlignment="1">
      <alignment horizontal="center" vertical="center"/>
    </xf>
    <xf numFmtId="0" fontId="53" fillId="0" borderId="0" xfId="0" applyFont="1" applyAlignment="1">
      <alignment horizontal="center" vertical="center"/>
    </xf>
    <xf numFmtId="178" fontId="13" fillId="0" borderId="9" xfId="0" applyNumberFormat="1" applyFont="1" applyBorder="1" applyAlignment="1">
      <alignment horizontal="right" vertical="center"/>
    </xf>
    <xf numFmtId="0" fontId="54" fillId="0" borderId="0" xfId="0" applyFont="1" applyAlignment="1">
      <alignment horizontal="center" vertical="center"/>
    </xf>
    <xf numFmtId="0" fontId="16" fillId="0" borderId="9" xfId="0" applyFont="1" applyFill="1" applyBorder="1" applyAlignment="1">
      <alignment horizontal="center" vertical="center"/>
    </xf>
    <xf numFmtId="0" fontId="10" fillId="0" borderId="9" xfId="0" applyFont="1" applyBorder="1" applyAlignment="1">
      <alignment horizontal="center" vertical="center"/>
    </xf>
    <xf numFmtId="176" fontId="55" fillId="13" borderId="9" xfId="0" applyNumberFormat="1" applyFont="1" applyFill="1" applyBorder="1" applyAlignment="1" applyProtection="1">
      <alignment horizontal="center" vertical="center" wrapText="1"/>
      <protection locked="0"/>
    </xf>
    <xf numFmtId="0" fontId="10" fillId="0" borderId="9" xfId="0" applyFont="1" applyFill="1" applyBorder="1" applyAlignment="1">
      <alignment horizontal="center" vertical="center"/>
    </xf>
    <xf numFmtId="178" fontId="55" fillId="0" borderId="9" xfId="0" applyNumberFormat="1" applyFont="1" applyBorder="1" applyAlignment="1">
      <alignment horizontal="right" vertical="center"/>
    </xf>
    <xf numFmtId="0" fontId="16" fillId="0" borderId="9" xfId="0" applyFont="1" applyFill="1" applyBorder="1" applyAlignment="1">
      <alignment horizontal="center" vertical="center" wrapText="1"/>
    </xf>
    <xf numFmtId="0" fontId="16" fillId="0" borderId="9" xfId="0" applyFont="1" applyBorder="1" applyAlignment="1">
      <alignment horizontal="center" vertical="top"/>
    </xf>
    <xf numFmtId="0" fontId="10" fillId="7" borderId="8" xfId="0" applyFont="1" applyFill="1" applyBorder="1" applyAlignment="1">
      <alignment horizontal="center" vertical="center"/>
    </xf>
    <xf numFmtId="179"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xf>
    <xf numFmtId="178" fontId="55" fillId="7" borderId="9" xfId="0" applyNumberFormat="1" applyFont="1" applyFill="1" applyBorder="1" applyAlignment="1">
      <alignment horizontal="right" vertical="center"/>
    </xf>
    <xf numFmtId="0" fontId="16" fillId="0" borderId="40" xfId="0" applyFont="1" applyBorder="1" applyAlignment="1">
      <alignment vertical="top" wrapText="1"/>
    </xf>
    <xf numFmtId="0" fontId="14" fillId="0" borderId="9" xfId="0" applyFont="1" applyFill="1" applyBorder="1" applyAlignment="1">
      <alignment horizontal="center" vertical="center"/>
    </xf>
    <xf numFmtId="0" fontId="13" fillId="0" borderId="9" xfId="0" applyFont="1" applyBorder="1" applyAlignment="1">
      <alignment horizontal="center" vertical="center"/>
    </xf>
    <xf numFmtId="176" fontId="13" fillId="13" borderId="9" xfId="0" applyNumberFormat="1" applyFont="1" applyFill="1" applyBorder="1" applyAlignment="1" applyProtection="1">
      <alignment horizontal="center" vertical="center" wrapText="1"/>
      <protection locked="0"/>
    </xf>
    <xf numFmtId="0" fontId="14" fillId="0" borderId="9" xfId="0" applyFont="1" applyBorder="1" applyAlignment="1">
      <alignment horizontal="left" vertical="center"/>
    </xf>
    <xf numFmtId="0" fontId="13" fillId="0" borderId="9" xfId="0" applyFont="1" applyFill="1" applyBorder="1" applyAlignment="1">
      <alignment horizontal="center" vertical="center"/>
    </xf>
    <xf numFmtId="0" fontId="54" fillId="0" borderId="10" xfId="0" applyFont="1" applyBorder="1" applyAlignment="1">
      <alignment horizontal="center" vertical="center"/>
    </xf>
    <xf numFmtId="0" fontId="16" fillId="0" borderId="9" xfId="0" applyFont="1" applyBorder="1" applyAlignment="1">
      <alignment horizontal="left" vertical="center"/>
    </xf>
    <xf numFmtId="0" fontId="53" fillId="0" borderId="10" xfId="0" applyFont="1" applyBorder="1" applyAlignment="1">
      <alignment horizontal="center" vertical="center"/>
    </xf>
    <xf numFmtId="0" fontId="50" fillId="0" borderId="10" xfId="0" applyFont="1" applyBorder="1" applyAlignment="1">
      <alignment vertical="center"/>
    </xf>
    <xf numFmtId="0" fontId="10" fillId="4" borderId="6" xfId="0" applyFont="1" applyFill="1" applyBorder="1" applyAlignment="1" applyProtection="1">
      <alignment horizontal="left" vertical="center"/>
    </xf>
    <xf numFmtId="0" fontId="12"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left" vertical="center" wrapText="1"/>
    </xf>
    <xf numFmtId="0" fontId="17" fillId="4" borderId="6" xfId="0" applyFont="1" applyFill="1" applyBorder="1" applyAlignment="1" applyProtection="1">
      <alignment horizontal="left" vertical="center" wrapText="1"/>
    </xf>
    <xf numFmtId="0" fontId="17" fillId="4" borderId="6" xfId="0"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26" fillId="4" borderId="6" xfId="0" applyFont="1" applyFill="1" applyBorder="1" applyAlignment="1">
      <alignment horizontal="center" vertical="center" wrapText="1"/>
    </xf>
    <xf numFmtId="0" fontId="17" fillId="4" borderId="6" xfId="0" applyFont="1" applyFill="1" applyBorder="1" applyAlignment="1">
      <alignment vertical="center" wrapText="1"/>
    </xf>
    <xf numFmtId="0" fontId="17" fillId="4" borderId="42" xfId="0" applyFont="1" applyFill="1" applyBorder="1" applyAlignment="1">
      <alignment vertical="center" wrapText="1"/>
    </xf>
    <xf numFmtId="0" fontId="8" fillId="8" borderId="2" xfId="2" applyFont="1" applyFill="1" applyBorder="1" applyAlignment="1" applyProtection="1">
      <alignment horizontal="center" vertical="center" wrapText="1"/>
    </xf>
    <xf numFmtId="0" fontId="8" fillId="8" borderId="3" xfId="2" applyFont="1" applyFill="1" applyBorder="1" applyAlignment="1" applyProtection="1">
      <alignment horizontal="left" vertical="center" wrapText="1"/>
    </xf>
    <xf numFmtId="0" fontId="8" fillId="8" borderId="3" xfId="2" applyFont="1" applyFill="1" applyBorder="1" applyAlignment="1" applyProtection="1">
      <alignment horizontal="center" vertical="center" wrapText="1"/>
    </xf>
    <xf numFmtId="0" fontId="8" fillId="8" borderId="4" xfId="2" applyFont="1" applyFill="1" applyBorder="1" applyAlignment="1" applyProtection="1">
      <alignment horizontal="center" vertical="center" wrapText="1"/>
    </xf>
    <xf numFmtId="176" fontId="10" fillId="5" borderId="6" xfId="0" applyNumberFormat="1" applyFont="1" applyFill="1" applyBorder="1" applyAlignment="1" applyProtection="1">
      <alignment horizontal="center" vertical="center" wrapText="1"/>
      <protection locked="0"/>
    </xf>
    <xf numFmtId="176" fontId="10" fillId="4" borderId="6" xfId="0" applyNumberFormat="1" applyFont="1" applyFill="1" applyBorder="1" applyAlignment="1" applyProtection="1">
      <alignment horizontal="center" vertical="center"/>
    </xf>
    <xf numFmtId="178" fontId="10" fillId="4" borderId="6" xfId="0" applyNumberFormat="1" applyFont="1" applyFill="1" applyBorder="1" applyAlignment="1" applyProtection="1">
      <alignment horizontal="center" vertical="center"/>
    </xf>
    <xf numFmtId="178" fontId="13" fillId="4" borderId="6" xfId="0" applyNumberFormat="1" applyFont="1" applyFill="1" applyBorder="1" applyAlignment="1" applyProtection="1">
      <alignment horizontal="center" vertical="center"/>
    </xf>
    <xf numFmtId="0" fontId="47" fillId="4" borderId="6" xfId="0" applyFont="1" applyFill="1" applyBorder="1" applyAlignment="1">
      <alignment horizontal="center" vertical="center"/>
    </xf>
    <xf numFmtId="0" fontId="47" fillId="4" borderId="6" xfId="0" applyFont="1" applyFill="1" applyBorder="1" applyAlignment="1">
      <alignment horizontal="center" vertical="center" wrapText="1"/>
    </xf>
    <xf numFmtId="0" fontId="18" fillId="4" borderId="6" xfId="0" applyFont="1" applyFill="1" applyBorder="1" applyAlignment="1">
      <alignment horizontal="left" vertical="center" wrapText="1"/>
    </xf>
    <xf numFmtId="0" fontId="8" fillId="3" borderId="2" xfId="2" applyFont="1" applyFill="1" applyBorder="1" applyAlignment="1" applyProtection="1">
      <alignment horizontal="left" vertical="center" wrapText="1"/>
    </xf>
    <xf numFmtId="0" fontId="8" fillId="3" borderId="3" xfId="2" applyFont="1" applyFill="1" applyBorder="1" applyAlignment="1" applyProtection="1">
      <alignment horizontal="center" vertical="center"/>
    </xf>
    <xf numFmtId="176" fontId="8" fillId="3" borderId="3" xfId="2" applyNumberFormat="1" applyFont="1" applyFill="1" applyBorder="1" applyAlignment="1" applyProtection="1">
      <alignment horizontal="center" vertical="center"/>
    </xf>
    <xf numFmtId="177" fontId="8" fillId="3" borderId="3" xfId="2" applyNumberFormat="1" applyFont="1" applyFill="1" applyBorder="1" applyAlignment="1" applyProtection="1">
      <alignment horizontal="center" vertical="center"/>
    </xf>
    <xf numFmtId="177" fontId="8" fillId="3" borderId="3" xfId="2" applyNumberFormat="1" applyFont="1" applyFill="1" applyBorder="1" applyAlignment="1" applyProtection="1">
      <alignment horizontal="center" vertical="center" wrapText="1"/>
    </xf>
    <xf numFmtId="0" fontId="8" fillId="3" borderId="3" xfId="2" applyFont="1" applyFill="1" applyBorder="1" applyAlignment="1" applyProtection="1">
      <alignment horizontal="center" vertical="center" wrapText="1"/>
    </xf>
    <xf numFmtId="0" fontId="8" fillId="3" borderId="29" xfId="2" applyFont="1" applyFill="1" applyBorder="1" applyAlignment="1" applyProtection="1">
      <alignment horizontal="center" vertical="center" wrapText="1"/>
    </xf>
    <xf numFmtId="0" fontId="11" fillId="4" borderId="9" xfId="0" applyFont="1" applyFill="1" applyBorder="1" applyAlignment="1" applyProtection="1">
      <alignment horizontal="left" vertical="center"/>
    </xf>
    <xf numFmtId="0" fontId="10" fillId="4" borderId="9" xfId="0" applyFont="1" applyFill="1" applyBorder="1" applyAlignment="1">
      <alignment horizontal="center" vertical="center"/>
    </xf>
    <xf numFmtId="176" fontId="7" fillId="4" borderId="0" xfId="0" applyNumberFormat="1" applyFont="1" applyFill="1" applyAlignment="1" applyProtection="1">
      <alignment horizontal="left" vertical="center"/>
    </xf>
    <xf numFmtId="176" fontId="28" fillId="4" borderId="0" xfId="0" applyNumberFormat="1" applyFont="1" applyFill="1" applyAlignment="1" applyProtection="1">
      <alignment horizontal="left" vertical="center"/>
    </xf>
    <xf numFmtId="176" fontId="22" fillId="4" borderId="0" xfId="0" applyNumberFormat="1" applyFont="1" applyFill="1" applyAlignment="1" applyProtection="1">
      <alignment vertical="center"/>
    </xf>
    <xf numFmtId="176" fontId="9" fillId="4" borderId="0" xfId="0" applyNumberFormat="1" applyFont="1" applyFill="1" applyAlignment="1" applyProtection="1">
      <alignment horizontal="center" vertical="center"/>
    </xf>
    <xf numFmtId="176" fontId="9" fillId="4" borderId="0" xfId="0" applyNumberFormat="1" applyFont="1" applyFill="1" applyAlignment="1" applyProtection="1">
      <alignment horizontal="center" vertical="center" wrapText="1"/>
    </xf>
    <xf numFmtId="176" fontId="9" fillId="4" borderId="0" xfId="0" applyNumberFormat="1" applyFont="1" applyFill="1" applyAlignment="1" applyProtection="1">
      <alignment horizontal="right" vertical="center"/>
    </xf>
    <xf numFmtId="176" fontId="11" fillId="4" borderId="0" xfId="0" applyNumberFormat="1" applyFont="1" applyFill="1" applyAlignment="1" applyProtection="1">
      <alignment horizontal="left" vertical="center" wrapText="1"/>
    </xf>
    <xf numFmtId="0" fontId="7" fillId="4" borderId="0" xfId="0" applyFont="1" applyFill="1" applyAlignment="1" applyProtection="1">
      <alignment horizontal="left" vertical="center"/>
    </xf>
    <xf numFmtId="0" fontId="28" fillId="4" borderId="0" xfId="0" applyFont="1" applyFill="1" applyAlignment="1" applyProtection="1">
      <alignment horizontal="left" vertical="center"/>
    </xf>
    <xf numFmtId="0" fontId="22" fillId="4" borderId="0" xfId="0" applyFont="1" applyFill="1" applyAlignment="1" applyProtection="1">
      <alignment vertical="center"/>
    </xf>
    <xf numFmtId="177" fontId="9" fillId="4" borderId="0" xfId="0" applyNumberFormat="1" applyFont="1" applyFill="1" applyAlignment="1" applyProtection="1">
      <alignment horizontal="center" vertical="center"/>
    </xf>
    <xf numFmtId="177" fontId="9" fillId="4" borderId="0" xfId="0" applyNumberFormat="1" applyFont="1" applyFill="1" applyAlignment="1" applyProtection="1">
      <alignment horizontal="center" vertical="center" wrapText="1"/>
    </xf>
    <xf numFmtId="0" fontId="11" fillId="4" borderId="0" xfId="0" applyFont="1" applyFill="1" applyAlignment="1" applyProtection="1">
      <alignment horizontal="left" vertical="center" wrapText="1"/>
    </xf>
    <xf numFmtId="0" fontId="25" fillId="5" borderId="9" xfId="3" applyFont="1" applyFill="1" applyBorder="1" applyAlignment="1" applyProtection="1">
      <alignment horizontal="center" vertical="center" wrapText="1"/>
    </xf>
    <xf numFmtId="178" fontId="25" fillId="4" borderId="6" xfId="0" applyNumberFormat="1" applyFont="1" applyFill="1" applyBorder="1" applyAlignment="1">
      <alignment vertical="center"/>
    </xf>
    <xf numFmtId="177" fontId="25" fillId="4" borderId="6" xfId="0" applyNumberFormat="1" applyFont="1" applyFill="1" applyBorder="1" applyAlignment="1">
      <alignment horizontal="center" vertical="center"/>
    </xf>
    <xf numFmtId="0" fontId="10" fillId="4" borderId="9" xfId="0" applyFont="1" applyFill="1" applyBorder="1" applyAlignment="1" applyProtection="1">
      <alignment horizontal="center" vertical="center"/>
    </xf>
    <xf numFmtId="0" fontId="12" fillId="4" borderId="9" xfId="0" applyNumberFormat="1" applyFont="1" applyFill="1" applyBorder="1" applyAlignment="1" applyProtection="1">
      <alignment horizontal="center" vertical="center"/>
    </xf>
    <xf numFmtId="0" fontId="20" fillId="4" borderId="14" xfId="0" applyFont="1" applyFill="1" applyBorder="1" applyAlignment="1" applyProtection="1">
      <alignment horizontal="left" vertical="center" wrapText="1"/>
    </xf>
    <xf numFmtId="176" fontId="19" fillId="5" borderId="14" xfId="0" applyNumberFormat="1" applyFont="1" applyFill="1" applyBorder="1" applyAlignment="1" applyProtection="1">
      <alignment horizontal="center" vertical="center"/>
      <protection locked="0"/>
    </xf>
    <xf numFmtId="177" fontId="19" fillId="4" borderId="14" xfId="0" applyNumberFormat="1" applyFont="1" applyFill="1" applyBorder="1" applyAlignment="1">
      <alignment horizontal="center" vertical="center"/>
    </xf>
    <xf numFmtId="0" fontId="19" fillId="4" borderId="9" xfId="0" applyFont="1" applyFill="1" applyBorder="1" applyAlignment="1" applyProtection="1">
      <alignment horizontal="left" vertical="center" wrapText="1"/>
    </xf>
    <xf numFmtId="0" fontId="20" fillId="4" borderId="9"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17" fillId="4" borderId="9" xfId="0" applyFont="1" applyFill="1" applyBorder="1" applyAlignment="1">
      <alignment horizontal="left" vertical="center" wrapText="1"/>
    </xf>
    <xf numFmtId="0" fontId="33" fillId="4" borderId="9" xfId="0" applyFont="1" applyFill="1" applyBorder="1" applyAlignment="1">
      <alignment horizontal="center" vertical="center"/>
    </xf>
    <xf numFmtId="178" fontId="19" fillId="4" borderId="9" xfId="0" applyNumberFormat="1" applyFont="1" applyFill="1" applyBorder="1" applyAlignment="1">
      <alignment horizontal="center" vertical="center"/>
    </xf>
    <xf numFmtId="0" fontId="19" fillId="4" borderId="9" xfId="0" applyFont="1" applyFill="1" applyBorder="1" applyAlignment="1">
      <alignment horizontal="left" vertical="center" wrapText="1"/>
    </xf>
    <xf numFmtId="179" fontId="25" fillId="0" borderId="9" xfId="0" applyNumberFormat="1" applyFont="1" applyBorder="1" applyAlignment="1">
      <alignment horizontal="center" vertical="center" wrapText="1"/>
    </xf>
    <xf numFmtId="0" fontId="20" fillId="4" borderId="9" xfId="0" applyFont="1" applyFill="1" applyBorder="1" applyAlignment="1">
      <alignment horizontal="left" vertical="center"/>
    </xf>
    <xf numFmtId="0" fontId="19" fillId="5" borderId="6" xfId="0" applyFont="1" applyFill="1" applyBorder="1" applyAlignment="1" applyProtection="1">
      <alignment horizontal="center" vertical="center"/>
      <protection locked="0"/>
    </xf>
    <xf numFmtId="0" fontId="19" fillId="5" borderId="9" xfId="0" applyFont="1" applyFill="1" applyBorder="1" applyAlignment="1" applyProtection="1">
      <alignment horizontal="center" vertical="center"/>
      <protection locked="0"/>
    </xf>
    <xf numFmtId="177" fontId="19" fillId="4" borderId="9" xfId="0" applyNumberFormat="1" applyFont="1" applyFill="1" applyBorder="1" applyAlignment="1">
      <alignment horizontal="center" vertical="center"/>
    </xf>
    <xf numFmtId="176" fontId="19" fillId="4" borderId="9" xfId="0" applyNumberFormat="1" applyFont="1" applyFill="1" applyBorder="1" applyAlignment="1">
      <alignment horizontal="center" vertical="center"/>
    </xf>
    <xf numFmtId="176" fontId="19" fillId="5" borderId="9" xfId="0" applyNumberFormat="1" applyFont="1" applyFill="1" applyBorder="1" applyAlignment="1" applyProtection="1">
      <alignment horizontal="center" vertical="center" wrapText="1"/>
      <protection locked="0"/>
    </xf>
    <xf numFmtId="0" fontId="16" fillId="4" borderId="9" xfId="3" applyFont="1" applyFill="1" applyBorder="1" applyAlignment="1">
      <alignment horizontal="left" vertical="center" wrapText="1"/>
    </xf>
    <xf numFmtId="176" fontId="19" fillId="5" borderId="9" xfId="0" applyNumberFormat="1" applyFont="1" applyFill="1" applyBorder="1" applyAlignment="1" applyProtection="1">
      <alignment horizontal="center" vertical="center"/>
      <protection locked="0"/>
    </xf>
    <xf numFmtId="176" fontId="19" fillId="5" borderId="9" xfId="0" applyNumberFormat="1" applyFont="1" applyFill="1" applyBorder="1" applyAlignment="1">
      <alignment horizontal="center" vertical="center"/>
    </xf>
    <xf numFmtId="0" fontId="20" fillId="4" borderId="9" xfId="0" applyFont="1" applyFill="1" applyBorder="1" applyAlignment="1">
      <alignment horizontal="left" vertical="center" wrapText="1"/>
    </xf>
    <xf numFmtId="0" fontId="16" fillId="4" borderId="9" xfId="3" applyFont="1" applyFill="1" applyBorder="1" applyAlignment="1">
      <alignment horizontal="center" vertical="center" wrapText="1"/>
    </xf>
    <xf numFmtId="178" fontId="20" fillId="4" borderId="9" xfId="0" applyNumberFormat="1" applyFont="1" applyFill="1" applyBorder="1" applyAlignment="1">
      <alignment horizontal="center" vertical="center" wrapText="1"/>
    </xf>
    <xf numFmtId="178" fontId="26" fillId="4" borderId="9" xfId="0" applyNumberFormat="1" applyFont="1" applyFill="1" applyBorder="1" applyAlignment="1">
      <alignment horizontal="center" vertical="center" wrapText="1"/>
    </xf>
    <xf numFmtId="0" fontId="17" fillId="4" borderId="9" xfId="0" applyFont="1" applyFill="1" applyBorder="1" applyAlignment="1">
      <alignment horizontal="center" vertical="center" wrapText="1"/>
    </xf>
    <xf numFmtId="0" fontId="33" fillId="4" borderId="9" xfId="0" applyFont="1" applyFill="1" applyBorder="1" applyAlignment="1" applyProtection="1">
      <alignment horizontal="center" vertical="center" wrapText="1"/>
    </xf>
    <xf numFmtId="177" fontId="25" fillId="4" borderId="9" xfId="0" applyNumberFormat="1" applyFont="1" applyFill="1" applyBorder="1" applyAlignment="1">
      <alignment horizontal="center" vertical="center"/>
    </xf>
    <xf numFmtId="179" fontId="19" fillId="4" borderId="9" xfId="0" applyNumberFormat="1" applyFont="1" applyFill="1" applyBorder="1" applyAlignment="1">
      <alignment horizontal="center" vertical="center"/>
    </xf>
    <xf numFmtId="177" fontId="20" fillId="4" borderId="9" xfId="0" applyNumberFormat="1" applyFont="1" applyFill="1" applyBorder="1" applyAlignment="1">
      <alignment horizontal="left" vertical="center" wrapText="1"/>
    </xf>
    <xf numFmtId="184" fontId="19" fillId="5" borderId="9" xfId="0" applyNumberFormat="1" applyFont="1" applyFill="1" applyBorder="1" applyAlignment="1">
      <alignment horizontal="center" vertical="center"/>
    </xf>
    <xf numFmtId="0" fontId="10" fillId="4" borderId="9" xfId="3" applyFont="1" applyFill="1" applyBorder="1" applyAlignment="1" applyProtection="1">
      <alignment horizontal="left" vertical="center"/>
    </xf>
    <xf numFmtId="0" fontId="10" fillId="4" borderId="9" xfId="3" applyFont="1" applyFill="1" applyBorder="1" applyAlignment="1" applyProtection="1">
      <alignment horizontal="center" vertical="center"/>
    </xf>
    <xf numFmtId="177" fontId="20" fillId="4" borderId="9" xfId="0" applyNumberFormat="1" applyFont="1" applyFill="1" applyBorder="1" applyAlignment="1">
      <alignment horizontal="center" vertical="center"/>
    </xf>
    <xf numFmtId="0" fontId="20" fillId="4" borderId="9" xfId="0" applyFont="1" applyFill="1" applyBorder="1" applyAlignment="1" applyProtection="1">
      <alignment horizontal="left" vertical="center" wrapText="1"/>
    </xf>
    <xf numFmtId="0" fontId="11" fillId="4" borderId="9" xfId="0" applyFont="1" applyFill="1" applyBorder="1" applyAlignment="1">
      <alignment horizontal="left" vertical="center" wrapText="1"/>
    </xf>
    <xf numFmtId="176" fontId="25" fillId="5" borderId="9" xfId="0" applyNumberFormat="1" applyFont="1" applyFill="1" applyBorder="1" applyAlignment="1">
      <alignment horizontal="center" vertical="center"/>
    </xf>
    <xf numFmtId="0" fontId="25" fillId="4" borderId="9" xfId="0" applyFont="1" applyFill="1" applyBorder="1" applyAlignment="1" applyProtection="1">
      <alignment horizontal="left" vertical="center" wrapText="1"/>
    </xf>
    <xf numFmtId="0" fontId="17" fillId="4" borderId="9" xfId="3" applyFont="1" applyFill="1" applyBorder="1" applyAlignment="1" applyProtection="1">
      <alignment horizontal="center" vertical="center" wrapText="1"/>
    </xf>
    <xf numFmtId="178" fontId="25" fillId="4" borderId="9" xfId="0" applyNumberFormat="1" applyFont="1" applyFill="1" applyBorder="1" applyAlignment="1">
      <alignment horizontal="center" vertical="center"/>
    </xf>
    <xf numFmtId="0" fontId="12" fillId="4" borderId="9" xfId="0" applyFont="1" applyFill="1" applyBorder="1" applyAlignment="1">
      <alignment horizontal="left" vertical="center"/>
    </xf>
    <xf numFmtId="0" fontId="17" fillId="4" borderId="9" xfId="0" applyFont="1" applyFill="1" applyBorder="1" applyAlignment="1" applyProtection="1">
      <alignment horizontal="left" vertical="center" wrapText="1"/>
    </xf>
    <xf numFmtId="0" fontId="10" fillId="5" borderId="9" xfId="0" applyFont="1" applyFill="1" applyBorder="1" applyAlignment="1" applyProtection="1">
      <alignment horizontal="center" vertical="center"/>
    </xf>
    <xf numFmtId="0" fontId="20" fillId="4" borderId="9" xfId="0" applyFont="1" applyFill="1" applyBorder="1" applyAlignment="1" applyProtection="1">
      <alignment horizontal="center" vertical="center" wrapText="1"/>
    </xf>
    <xf numFmtId="0" fontId="11" fillId="4" borderId="9" xfId="0" applyFont="1" applyFill="1" applyBorder="1" applyAlignment="1" applyProtection="1">
      <alignment horizontal="left" vertical="center" wrapText="1"/>
    </xf>
    <xf numFmtId="177" fontId="19" fillId="0" borderId="9" xfId="0" applyNumberFormat="1"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2" fillId="5" borderId="13" xfId="0" applyFont="1" applyFill="1" applyBorder="1" applyAlignment="1" applyProtection="1">
      <alignment horizontal="center" vertical="center"/>
      <protection locked="0"/>
    </xf>
    <xf numFmtId="178" fontId="12" fillId="0" borderId="13" xfId="0" applyNumberFormat="1" applyFont="1" applyBorder="1" applyAlignment="1" applyProtection="1">
      <alignment horizontal="center" vertical="center"/>
    </xf>
    <xf numFmtId="176" fontId="12" fillId="5" borderId="9" xfId="0" applyNumberFormat="1" applyFont="1" applyFill="1" applyBorder="1" applyAlignment="1" applyProtection="1">
      <alignment horizontal="center" vertical="center"/>
    </xf>
    <xf numFmtId="0" fontId="19" fillId="0" borderId="9" xfId="0" applyFont="1" applyBorder="1" applyAlignment="1">
      <alignment horizontal="center" vertical="center" wrapText="1"/>
    </xf>
    <xf numFmtId="0" fontId="13" fillId="0" borderId="9" xfId="0" applyFont="1" applyBorder="1" applyAlignment="1" applyProtection="1">
      <alignment horizontal="center" vertical="center" wrapText="1"/>
    </xf>
    <xf numFmtId="0" fontId="11" fillId="4" borderId="10" xfId="0" applyFont="1" applyFill="1" applyBorder="1" applyAlignment="1" applyProtection="1">
      <alignment horizontal="left" vertical="center" wrapText="1"/>
    </xf>
    <xf numFmtId="178" fontId="12" fillId="0" borderId="9" xfId="0" applyNumberFormat="1" applyFont="1" applyBorder="1" applyAlignment="1" applyProtection="1">
      <alignment horizontal="center" vertical="center" wrapText="1"/>
    </xf>
    <xf numFmtId="0" fontId="11" fillId="0" borderId="9" xfId="0" applyFont="1" applyBorder="1" applyAlignment="1" applyProtection="1">
      <alignment horizontal="center" vertical="center"/>
    </xf>
    <xf numFmtId="178" fontId="12" fillId="4" borderId="9" xfId="0" applyNumberFormat="1" applyFont="1" applyFill="1" applyBorder="1" applyAlignment="1" applyProtection="1">
      <alignment horizontal="center" vertical="center" wrapText="1"/>
    </xf>
    <xf numFmtId="0" fontId="13" fillId="4" borderId="9" xfId="0" applyFont="1" applyFill="1" applyBorder="1" applyAlignment="1" applyProtection="1">
      <alignment horizontal="center" vertical="center" wrapText="1"/>
    </xf>
    <xf numFmtId="178" fontId="12" fillId="4" borderId="9" xfId="0" applyNumberFormat="1" applyFont="1" applyFill="1" applyBorder="1" applyAlignment="1" applyProtection="1">
      <alignment horizontal="center" vertical="center"/>
    </xf>
    <xf numFmtId="0" fontId="19" fillId="4" borderId="9" xfId="0" applyFont="1" applyFill="1" applyBorder="1" applyAlignment="1">
      <alignment horizontal="center" vertical="center"/>
    </xf>
    <xf numFmtId="0" fontId="10" fillId="0" borderId="9" xfId="0" applyFont="1" applyBorder="1" applyAlignment="1" applyProtection="1">
      <alignment horizontal="left" vertical="center" wrapText="1"/>
    </xf>
    <xf numFmtId="176" fontId="12" fillId="4" borderId="9" xfId="0" applyNumberFormat="1" applyFont="1" applyFill="1" applyBorder="1" applyAlignment="1" applyProtection="1">
      <alignment horizontal="center" vertical="center" wrapText="1"/>
      <protection locked="0"/>
    </xf>
    <xf numFmtId="0" fontId="10" fillId="4" borderId="8" xfId="0" applyFont="1" applyFill="1" applyBorder="1" applyAlignment="1" applyProtection="1">
      <alignment horizontal="left" vertical="center"/>
    </xf>
    <xf numFmtId="0" fontId="10" fillId="0" borderId="8" xfId="0" applyFont="1" applyBorder="1" applyAlignment="1" applyProtection="1">
      <alignment horizontal="left" vertical="center"/>
    </xf>
    <xf numFmtId="0" fontId="12" fillId="4" borderId="9" xfId="0" applyFont="1" applyFill="1" applyBorder="1" applyAlignment="1" applyProtection="1">
      <alignment horizontal="center" vertical="center"/>
    </xf>
    <xf numFmtId="0" fontId="12" fillId="5" borderId="9" xfId="0" applyFont="1" applyFill="1" applyBorder="1" applyAlignment="1" applyProtection="1">
      <alignment horizontal="center" vertical="center"/>
      <protection locked="0"/>
    </xf>
    <xf numFmtId="178" fontId="12" fillId="0" borderId="9" xfId="0" applyNumberFormat="1" applyFont="1" applyBorder="1" applyAlignment="1" applyProtection="1">
      <alignment horizontal="center" vertical="center"/>
    </xf>
    <xf numFmtId="0" fontId="10" fillId="4" borderId="9" xfId="0" applyFont="1" applyFill="1" applyBorder="1" applyAlignment="1" applyProtection="1">
      <alignment horizontal="left" vertical="center"/>
    </xf>
    <xf numFmtId="0" fontId="11" fillId="4" borderId="9" xfId="0" applyNumberFormat="1" applyFont="1" applyFill="1" applyBorder="1" applyAlignment="1" applyProtection="1">
      <alignment horizontal="center" vertical="center"/>
    </xf>
    <xf numFmtId="0" fontId="13" fillId="4" borderId="9" xfId="0" applyNumberFormat="1" applyFont="1" applyFill="1" applyBorder="1" applyAlignment="1" applyProtection="1">
      <alignment horizontal="center" vertical="center" wrapText="1"/>
    </xf>
    <xf numFmtId="0" fontId="12" fillId="4" borderId="9" xfId="0" applyFont="1" applyFill="1" applyBorder="1" applyAlignment="1" applyProtection="1">
      <alignment horizontal="left" vertical="center"/>
    </xf>
    <xf numFmtId="0" fontId="11" fillId="4" borderId="9" xfId="0" applyFont="1" applyFill="1" applyBorder="1" applyAlignment="1" applyProtection="1">
      <alignment horizontal="center" vertical="center"/>
    </xf>
    <xf numFmtId="0" fontId="24" fillId="4" borderId="9" xfId="0" applyFont="1" applyFill="1" applyBorder="1" applyAlignment="1">
      <alignment horizontal="center" vertical="center"/>
    </xf>
    <xf numFmtId="0" fontId="11" fillId="0" borderId="9" xfId="0" applyFont="1" applyBorder="1" applyAlignment="1" applyProtection="1">
      <alignment horizontal="left" vertical="center" wrapText="1"/>
    </xf>
    <xf numFmtId="0" fontId="12" fillId="4" borderId="9" xfId="0" applyFont="1" applyFill="1" applyBorder="1" applyAlignment="1" applyProtection="1">
      <alignment horizontal="center" vertical="center" wrapText="1"/>
    </xf>
    <xf numFmtId="0" fontId="12" fillId="5" borderId="9" xfId="0" applyNumberFormat="1" applyFont="1" applyFill="1" applyBorder="1" applyAlignment="1" applyProtection="1">
      <alignment horizontal="center" vertical="center"/>
      <protection locked="0"/>
    </xf>
    <xf numFmtId="0" fontId="11" fillId="0" borderId="9" xfId="0" applyNumberFormat="1" applyFont="1" applyBorder="1" applyAlignment="1" applyProtection="1">
      <alignment horizontal="center" vertical="center"/>
    </xf>
    <xf numFmtId="0" fontId="13" fillId="0" borderId="9" xfId="0" applyNumberFormat="1" applyFont="1" applyBorder="1" applyAlignment="1" applyProtection="1">
      <alignment horizontal="center" vertical="center" wrapText="1"/>
    </xf>
    <xf numFmtId="178" fontId="10" fillId="0" borderId="9" xfId="3" applyNumberFormat="1" applyFont="1" applyBorder="1" applyAlignment="1" applyProtection="1">
      <alignment horizontal="center" vertical="center" wrapText="1"/>
    </xf>
    <xf numFmtId="0" fontId="16" fillId="0" borderId="9" xfId="3" applyNumberFormat="1" applyFont="1" applyBorder="1" applyAlignment="1" applyProtection="1">
      <alignment horizontal="center" vertical="center"/>
    </xf>
    <xf numFmtId="0" fontId="25" fillId="4" borderId="9" xfId="3" applyFont="1" applyFill="1" applyBorder="1" applyAlignment="1">
      <alignment horizontal="left" vertical="center"/>
    </xf>
    <xf numFmtId="0" fontId="17" fillId="4" borderId="9" xfId="3" applyFont="1" applyFill="1" applyBorder="1" applyAlignment="1">
      <alignment horizontal="left" vertical="center"/>
    </xf>
    <xf numFmtId="176" fontId="12" fillId="5" borderId="9" xfId="0" applyNumberFormat="1" applyFont="1" applyFill="1" applyBorder="1" applyAlignment="1" applyProtection="1">
      <alignment horizontal="center" vertical="center" wrapText="1"/>
      <protection locked="0"/>
    </xf>
    <xf numFmtId="176" fontId="10" fillId="7" borderId="19" xfId="0" applyNumberFormat="1" applyFont="1" applyFill="1" applyBorder="1" applyAlignment="1" applyProtection="1">
      <alignment horizontal="left" vertical="center" wrapText="1"/>
    </xf>
    <xf numFmtId="0" fontId="10" fillId="4" borderId="9" xfId="0" applyNumberFormat="1" applyFont="1" applyFill="1" applyBorder="1" applyAlignment="1">
      <alignment horizontal="left" vertical="center" wrapText="1"/>
    </xf>
    <xf numFmtId="0" fontId="16" fillId="4" borderId="9" xfId="0" applyNumberFormat="1" applyFont="1" applyFill="1" applyBorder="1" applyAlignment="1">
      <alignment horizontal="left" vertical="center"/>
    </xf>
    <xf numFmtId="0" fontId="10" fillId="4" borderId="9" xfId="0" applyNumberFormat="1" applyFont="1" applyFill="1" applyBorder="1" applyAlignment="1">
      <alignment horizontal="center" vertical="center"/>
    </xf>
    <xf numFmtId="0" fontId="16" fillId="4" borderId="9"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xf>
    <xf numFmtId="178" fontId="10" fillId="4" borderId="9" xfId="0" applyNumberFormat="1" applyFont="1" applyFill="1" applyBorder="1" applyAlignment="1">
      <alignment horizontal="center" vertical="center"/>
    </xf>
    <xf numFmtId="0" fontId="10" fillId="4" borderId="9" xfId="0" applyNumberFormat="1" applyFont="1" applyFill="1" applyBorder="1" applyAlignment="1">
      <alignment horizontal="center" vertical="center" wrapText="1"/>
    </xf>
    <xf numFmtId="0" fontId="16" fillId="4" borderId="9" xfId="0" applyNumberFormat="1" applyFont="1" applyFill="1" applyBorder="1" applyAlignment="1">
      <alignment horizontal="left" vertical="center" wrapText="1"/>
    </xf>
    <xf numFmtId="0" fontId="16" fillId="4" borderId="9" xfId="0" applyNumberFormat="1" applyFont="1" applyFill="1" applyBorder="1" applyAlignment="1">
      <alignment horizontal="left" vertical="top" wrapText="1"/>
    </xf>
    <xf numFmtId="0" fontId="10" fillId="5" borderId="9" xfId="0" applyNumberFormat="1" applyFont="1" applyFill="1" applyBorder="1" applyAlignment="1">
      <alignment horizontal="center" vertical="center"/>
    </xf>
    <xf numFmtId="0" fontId="16" fillId="0" borderId="9" xfId="0" applyFont="1" applyBorder="1" applyAlignment="1" applyProtection="1">
      <alignment horizontal="left" vertical="center" wrapText="1"/>
    </xf>
    <xf numFmtId="0" fontId="7" fillId="4" borderId="9" xfId="0" applyFont="1" applyFill="1" applyBorder="1" applyAlignment="1" applyProtection="1">
      <alignment horizontal="center" vertical="center"/>
    </xf>
    <xf numFmtId="0" fontId="16" fillId="4" borderId="9" xfId="3" applyFont="1" applyFill="1" applyBorder="1" applyAlignment="1">
      <alignment vertical="center"/>
    </xf>
    <xf numFmtId="0" fontId="16" fillId="4" borderId="9" xfId="3" applyFont="1" applyFill="1" applyBorder="1" applyAlignment="1">
      <alignment vertical="center" wrapText="1"/>
    </xf>
    <xf numFmtId="0" fontId="16" fillId="4" borderId="9" xfId="3" applyFont="1" applyFill="1" applyBorder="1" applyAlignment="1" applyProtection="1">
      <alignment horizontal="left" vertical="top" wrapText="1"/>
    </xf>
    <xf numFmtId="176" fontId="11" fillId="0" borderId="9" xfId="0" applyNumberFormat="1" applyFont="1" applyBorder="1" applyAlignment="1" applyProtection="1">
      <alignment horizontal="left" vertical="center" wrapText="1"/>
    </xf>
    <xf numFmtId="0" fontId="11" fillId="0" borderId="23" xfId="0" applyFont="1" applyBorder="1" applyAlignment="1" applyProtection="1">
      <alignment horizontal="left" vertical="center" wrapText="1"/>
    </xf>
    <xf numFmtId="0" fontId="11" fillId="4" borderId="24" xfId="0" applyFont="1" applyFill="1" applyBorder="1" applyAlignment="1" applyProtection="1">
      <alignment horizontal="left" vertical="top" wrapText="1"/>
    </xf>
    <xf numFmtId="0" fontId="11" fillId="4" borderId="10" xfId="0" applyFont="1" applyFill="1" applyBorder="1" applyAlignment="1" applyProtection="1">
      <alignment horizontal="left" vertical="top" wrapText="1"/>
    </xf>
    <xf numFmtId="0" fontId="11" fillId="0" borderId="10" xfId="0" applyFont="1" applyBorder="1" applyAlignment="1" applyProtection="1">
      <alignment horizontal="left" vertical="top" wrapText="1"/>
    </xf>
    <xf numFmtId="179" fontId="11" fillId="0" borderId="10" xfId="0" applyNumberFormat="1" applyFont="1" applyFill="1" applyBorder="1" applyAlignment="1" applyProtection="1">
      <alignment horizontal="left" vertical="center" wrapText="1"/>
    </xf>
    <xf numFmtId="0" fontId="11" fillId="0" borderId="10" xfId="0" applyFont="1" applyFill="1" applyBorder="1" applyAlignment="1" applyProtection="1">
      <alignment horizontal="left" vertical="top" wrapText="1"/>
    </xf>
    <xf numFmtId="0" fontId="16" fillId="4" borderId="10" xfId="0" applyFont="1" applyFill="1" applyBorder="1" applyAlignment="1" applyProtection="1">
      <alignment horizontal="left" vertical="top" wrapText="1"/>
    </xf>
    <xf numFmtId="0" fontId="16" fillId="4" borderId="10" xfId="0" applyNumberFormat="1" applyFont="1" applyFill="1" applyBorder="1" applyAlignment="1">
      <alignment horizontal="left" vertical="top" wrapText="1"/>
    </xf>
    <xf numFmtId="0" fontId="20" fillId="4" borderId="10" xfId="0" applyFont="1" applyFill="1" applyBorder="1" applyAlignment="1">
      <alignment horizontal="left" vertical="center" wrapText="1"/>
    </xf>
    <xf numFmtId="0" fontId="20" fillId="4" borderId="10" xfId="0" applyFont="1" applyFill="1" applyBorder="1" applyAlignment="1">
      <alignment vertical="center" wrapText="1"/>
    </xf>
    <xf numFmtId="0" fontId="48" fillId="4" borderId="10" xfId="0" applyFont="1" applyFill="1" applyBorder="1" applyAlignment="1">
      <alignment vertical="top" wrapText="1"/>
    </xf>
    <xf numFmtId="0" fontId="24" fillId="4" borderId="10" xfId="0" applyFont="1" applyFill="1" applyBorder="1" applyAlignment="1">
      <alignment vertical="top" wrapText="1"/>
    </xf>
    <xf numFmtId="0" fontId="11" fillId="0" borderId="10" xfId="0" applyFont="1" applyBorder="1" applyAlignment="1" applyProtection="1">
      <alignment vertical="top" wrapText="1"/>
    </xf>
    <xf numFmtId="0" fontId="16" fillId="0" borderId="10" xfId="0" applyFont="1" applyBorder="1" applyAlignment="1" applyProtection="1">
      <alignment horizontal="left" vertical="top" wrapText="1"/>
    </xf>
    <xf numFmtId="0" fontId="27" fillId="4" borderId="10" xfId="0" applyFont="1" applyFill="1" applyBorder="1" applyAlignment="1" applyProtection="1">
      <alignment vertical="center"/>
    </xf>
    <xf numFmtId="0" fontId="27" fillId="0" borderId="10" xfId="0" applyFont="1" applyBorder="1" applyAlignment="1" applyProtection="1">
      <alignment vertical="center"/>
    </xf>
    <xf numFmtId="176" fontId="10" fillId="4" borderId="6" xfId="0" applyNumberFormat="1" applyFont="1" applyFill="1" applyBorder="1" applyAlignment="1" applyProtection="1">
      <alignment horizontal="left" vertical="center" wrapText="1"/>
    </xf>
    <xf numFmtId="179" fontId="12" fillId="7" borderId="3" xfId="0" applyNumberFormat="1" applyFont="1" applyFill="1" applyBorder="1" applyAlignment="1" applyProtection="1">
      <alignment horizontal="right" vertical="center"/>
    </xf>
    <xf numFmtId="179" fontId="12" fillId="6" borderId="3" xfId="0" applyNumberFormat="1" applyFont="1" applyFill="1" applyBorder="1" applyAlignment="1" applyProtection="1">
      <alignment horizontal="center" vertical="center"/>
    </xf>
    <xf numFmtId="176" fontId="11" fillId="4" borderId="48" xfId="0" applyNumberFormat="1" applyFont="1" applyFill="1" applyBorder="1" applyAlignment="1" applyProtection="1">
      <alignment horizontal="left" vertical="center"/>
    </xf>
    <xf numFmtId="176" fontId="11" fillId="4" borderId="25" xfId="0" applyNumberFormat="1" applyFont="1" applyFill="1" applyBorder="1" applyAlignment="1" applyProtection="1">
      <alignment horizontal="left" vertical="center"/>
    </xf>
    <xf numFmtId="176" fontId="11" fillId="0" borderId="23" xfId="0" applyNumberFormat="1" applyFont="1" applyBorder="1" applyAlignment="1" applyProtection="1">
      <alignment horizontal="left" vertical="center" wrapText="1"/>
    </xf>
    <xf numFmtId="176" fontId="16" fillId="4" borderId="24" xfId="0" applyNumberFormat="1" applyFont="1" applyFill="1" applyBorder="1" applyAlignment="1" applyProtection="1">
      <alignment horizontal="left" vertical="center" wrapText="1"/>
    </xf>
    <xf numFmtId="176" fontId="16" fillId="4" borderId="10" xfId="0" applyNumberFormat="1" applyFont="1" applyFill="1" applyBorder="1" applyAlignment="1" applyProtection="1">
      <alignment horizontal="left" vertical="center" wrapText="1"/>
    </xf>
    <xf numFmtId="0" fontId="10" fillId="4" borderId="3" xfId="0" applyNumberFormat="1" applyFont="1" applyFill="1" applyBorder="1" applyAlignment="1" applyProtection="1">
      <alignment horizontal="center" vertical="center" wrapText="1"/>
    </xf>
    <xf numFmtId="176" fontId="12" fillId="5" borderId="3" xfId="0" applyNumberFormat="1" applyFont="1" applyFill="1" applyBorder="1" applyAlignment="1" applyProtection="1">
      <alignment horizontal="center" vertical="center" wrapText="1"/>
      <protection locked="0"/>
    </xf>
    <xf numFmtId="176" fontId="12" fillId="4" borderId="3" xfId="0" applyNumberFormat="1"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xf>
    <xf numFmtId="176" fontId="12" fillId="5" borderId="3" xfId="0" applyNumberFormat="1" applyFont="1" applyFill="1" applyBorder="1" applyAlignment="1" applyProtection="1">
      <alignment horizontal="center" vertical="center"/>
      <protection locked="0"/>
    </xf>
    <xf numFmtId="178" fontId="12" fillId="0" borderId="3" xfId="0" applyNumberFormat="1" applyFont="1" applyBorder="1" applyAlignment="1" applyProtection="1">
      <alignment horizontal="center" vertical="center"/>
    </xf>
    <xf numFmtId="176" fontId="12" fillId="0" borderId="3" xfId="0" applyNumberFormat="1" applyFont="1" applyBorder="1" applyAlignment="1" applyProtection="1">
      <alignment horizontal="center" vertical="center"/>
    </xf>
    <xf numFmtId="178" fontId="12" fillId="0" borderId="3" xfId="0" applyNumberFormat="1" applyFont="1" applyBorder="1" applyAlignment="1" applyProtection="1">
      <alignment horizontal="center" vertical="center" wrapText="1"/>
    </xf>
    <xf numFmtId="0" fontId="12" fillId="0" borderId="3" xfId="0" applyNumberFormat="1" applyFont="1" applyBorder="1" applyAlignment="1" applyProtection="1">
      <alignment horizontal="center" vertical="center" wrapText="1"/>
    </xf>
    <xf numFmtId="0" fontId="10" fillId="0" borderId="3" xfId="0" applyNumberFormat="1" applyFont="1" applyBorder="1" applyAlignment="1" applyProtection="1">
      <alignment horizontal="center" vertical="center" wrapText="1"/>
    </xf>
    <xf numFmtId="0" fontId="11" fillId="0" borderId="4" xfId="0" applyFont="1" applyBorder="1" applyAlignment="1" applyProtection="1">
      <alignment horizontal="left" vertical="top" wrapText="1"/>
    </xf>
    <xf numFmtId="179" fontId="12" fillId="7" borderId="30" xfId="0" applyNumberFormat="1" applyFont="1" applyFill="1" applyBorder="1" applyAlignment="1" applyProtection="1">
      <alignment horizontal="left" vertical="center"/>
    </xf>
    <xf numFmtId="0" fontId="11" fillId="0" borderId="3" xfId="0" applyFont="1" applyBorder="1" applyAlignment="1" applyProtection="1">
      <alignment horizontal="left" vertical="center" wrapText="1"/>
    </xf>
    <xf numFmtId="176" fontId="11" fillId="0" borderId="19" xfId="0" applyNumberFormat="1" applyFont="1" applyBorder="1" applyAlignment="1" applyProtection="1">
      <alignment horizontal="left" vertical="center" wrapText="1"/>
    </xf>
    <xf numFmtId="176" fontId="7" fillId="0" borderId="31" xfId="0" applyNumberFormat="1" applyFont="1" applyBorder="1" applyAlignment="1" applyProtection="1">
      <alignment vertical="center"/>
    </xf>
    <xf numFmtId="176" fontId="11" fillId="4" borderId="11" xfId="0" applyNumberFormat="1" applyFont="1" applyFill="1" applyBorder="1" applyAlignment="1" applyProtection="1">
      <alignment horizontal="left" vertical="center" wrapText="1"/>
    </xf>
    <xf numFmtId="176" fontId="12" fillId="5" borderId="13" xfId="0" applyNumberFormat="1" applyFont="1" applyFill="1" applyBorder="1" applyAlignment="1" applyProtection="1">
      <alignment horizontal="center" vertical="center"/>
      <protection locked="0"/>
    </xf>
    <xf numFmtId="176" fontId="12" fillId="4" borderId="13" xfId="0" applyNumberFormat="1" applyFont="1" applyFill="1" applyBorder="1" applyAlignment="1" applyProtection="1">
      <alignment horizontal="center" vertical="center"/>
      <protection locked="0"/>
    </xf>
    <xf numFmtId="176" fontId="12" fillId="0" borderId="13" xfId="0" applyNumberFormat="1" applyFont="1" applyBorder="1" applyAlignment="1" applyProtection="1">
      <alignment horizontal="center" vertical="center"/>
    </xf>
    <xf numFmtId="178" fontId="12" fillId="0" borderId="13" xfId="0" applyNumberFormat="1" applyFont="1" applyBorder="1" applyAlignment="1" applyProtection="1">
      <alignment horizontal="center" vertical="center" wrapText="1"/>
    </xf>
    <xf numFmtId="0" fontId="11" fillId="0" borderId="13" xfId="0" applyFont="1" applyBorder="1" applyAlignment="1" applyProtection="1">
      <alignment horizontal="center" vertical="center"/>
    </xf>
    <xf numFmtId="176" fontId="11" fillId="0" borderId="13" xfId="0" applyNumberFormat="1" applyFont="1" applyBorder="1" applyAlignment="1" applyProtection="1">
      <alignment horizontal="left" vertical="center" wrapText="1"/>
    </xf>
    <xf numFmtId="176" fontId="16" fillId="4" borderId="15" xfId="0" applyNumberFormat="1" applyFont="1" applyFill="1" applyBorder="1" applyAlignment="1" applyProtection="1">
      <alignment horizontal="left" vertical="center" wrapText="1"/>
    </xf>
    <xf numFmtId="176" fontId="10" fillId="4" borderId="13" xfId="0" applyNumberFormat="1" applyFont="1" applyFill="1" applyBorder="1" applyAlignment="1" applyProtection="1">
      <alignment horizontal="left" vertical="center" wrapText="1"/>
    </xf>
    <xf numFmtId="176" fontId="11" fillId="4" borderId="49" xfId="0" applyNumberFormat="1" applyFont="1" applyFill="1" applyBorder="1" applyAlignment="1" applyProtection="1">
      <alignment horizontal="left" vertical="center" wrapText="1"/>
    </xf>
    <xf numFmtId="176" fontId="10" fillId="7" borderId="1" xfId="0" applyNumberFormat="1" applyFont="1" applyFill="1" applyBorder="1" applyAlignment="1" applyProtection="1">
      <alignment horizontal="left" vertical="center" wrapText="1"/>
    </xf>
    <xf numFmtId="176" fontId="10" fillId="7" borderId="50" xfId="0" applyNumberFormat="1" applyFont="1" applyFill="1" applyBorder="1" applyAlignment="1" applyProtection="1">
      <alignment horizontal="left" vertical="center" wrapText="1"/>
    </xf>
    <xf numFmtId="176" fontId="10" fillId="7" borderId="36" xfId="0" applyNumberFormat="1" applyFont="1" applyFill="1" applyBorder="1" applyAlignment="1" applyProtection="1">
      <alignment horizontal="left" vertical="center" wrapText="1"/>
    </xf>
    <xf numFmtId="176" fontId="10" fillId="7" borderId="38" xfId="0" applyNumberFormat="1" applyFont="1" applyFill="1" applyBorder="1" applyAlignment="1" applyProtection="1">
      <alignment horizontal="center" vertical="center" wrapText="1"/>
    </xf>
    <xf numFmtId="176" fontId="10" fillId="7" borderId="38" xfId="0" applyNumberFormat="1" applyFont="1" applyFill="1" applyBorder="1" applyAlignment="1" applyProtection="1">
      <alignment horizontal="left" vertical="center" wrapText="1"/>
    </xf>
    <xf numFmtId="178" fontId="12" fillId="7" borderId="38" xfId="0" applyNumberFormat="1" applyFont="1" applyFill="1" applyBorder="1" applyAlignment="1" applyProtection="1">
      <alignment horizontal="center" vertical="center"/>
    </xf>
    <xf numFmtId="176" fontId="12" fillId="7" borderId="38" xfId="0" applyNumberFormat="1" applyFont="1" applyFill="1" applyBorder="1" applyAlignment="1" applyProtection="1">
      <alignment horizontal="center" vertical="center"/>
    </xf>
    <xf numFmtId="176" fontId="10" fillId="7" borderId="39" xfId="0" applyNumberFormat="1" applyFont="1" applyFill="1" applyBorder="1" applyAlignment="1" applyProtection="1">
      <alignment horizontal="left" vertical="center" wrapText="1"/>
    </xf>
    <xf numFmtId="176" fontId="12" fillId="7" borderId="20" xfId="0" applyNumberFormat="1" applyFont="1" applyFill="1" applyBorder="1" applyAlignment="1" applyProtection="1">
      <alignment horizontal="left" vertical="center" wrapText="1"/>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1" fillId="4" borderId="3" xfId="0" applyFont="1" applyFill="1" applyBorder="1" applyAlignment="1" applyProtection="1">
      <alignment horizontal="left" vertical="center"/>
    </xf>
    <xf numFmtId="0" fontId="12" fillId="6" borderId="28" xfId="0" applyFont="1" applyFill="1" applyBorder="1" applyAlignment="1" applyProtection="1">
      <alignment horizontal="left" vertical="center" wrapText="1"/>
    </xf>
    <xf numFmtId="176" fontId="12" fillId="4" borderId="48" xfId="0" applyNumberFormat="1" applyFont="1" applyFill="1" applyBorder="1" applyAlignment="1" applyProtection="1">
      <alignment horizontal="left" vertical="center" wrapText="1"/>
    </xf>
    <xf numFmtId="176" fontId="12" fillId="4" borderId="49" xfId="0" applyNumberFormat="1" applyFont="1" applyFill="1" applyBorder="1" applyAlignment="1" applyProtection="1">
      <alignment horizontal="left" vertical="center" wrapText="1"/>
    </xf>
    <xf numFmtId="0" fontId="19" fillId="4" borderId="17" xfId="0" applyFont="1" applyFill="1" applyBorder="1" applyAlignment="1">
      <alignment horizontal="left" vertical="center" wrapText="1"/>
    </xf>
    <xf numFmtId="0" fontId="24" fillId="0" borderId="28" xfId="0" applyFont="1" applyBorder="1" applyAlignment="1">
      <alignment horizontal="left" vertical="top" wrapText="1"/>
    </xf>
    <xf numFmtId="0" fontId="33" fillId="4" borderId="23" xfId="0" applyFont="1" applyFill="1" applyBorder="1" applyAlignment="1">
      <alignment horizontal="center" vertical="center"/>
    </xf>
    <xf numFmtId="0" fontId="17" fillId="4" borderId="10" xfId="0" applyFont="1" applyFill="1" applyBorder="1" applyAlignment="1">
      <alignment horizontal="left" vertical="center" wrapText="1"/>
    </xf>
    <xf numFmtId="0" fontId="20" fillId="4" borderId="10" xfId="0" applyFont="1" applyFill="1" applyBorder="1" applyAlignment="1">
      <alignment horizontal="left" vertical="center"/>
    </xf>
    <xf numFmtId="0" fontId="16" fillId="4" borderId="10" xfId="3" applyFont="1" applyFill="1" applyBorder="1" applyAlignment="1">
      <alignment vertical="top" wrapText="1"/>
    </xf>
    <xf numFmtId="0" fontId="16" fillId="4" borderId="10" xfId="0" applyFont="1" applyFill="1" applyBorder="1" applyAlignment="1" applyProtection="1">
      <alignment vertical="top" wrapText="1"/>
    </xf>
    <xf numFmtId="0" fontId="20" fillId="4" borderId="10" xfId="0" applyFont="1" applyFill="1" applyBorder="1" applyAlignment="1">
      <alignment horizontal="center" vertical="center" wrapText="1"/>
    </xf>
    <xf numFmtId="0" fontId="17" fillId="4" borderId="10" xfId="0" applyFont="1" applyFill="1" applyBorder="1" applyAlignment="1">
      <alignment horizontal="left" vertical="top" wrapText="1"/>
    </xf>
    <xf numFmtId="0" fontId="20" fillId="4" borderId="10" xfId="0" applyFont="1" applyFill="1" applyBorder="1" applyAlignment="1">
      <alignment wrapText="1"/>
    </xf>
    <xf numFmtId="177" fontId="20" fillId="4" borderId="10" xfId="0" applyNumberFormat="1" applyFont="1" applyFill="1" applyBorder="1" applyAlignment="1">
      <alignment horizontal="left" vertical="center" wrapText="1"/>
    </xf>
    <xf numFmtId="0" fontId="20" fillId="4" borderId="7" xfId="0" applyFont="1" applyFill="1" applyBorder="1" applyAlignment="1">
      <alignment horizontal="left" vertical="center" wrapText="1"/>
    </xf>
    <xf numFmtId="0" fontId="19" fillId="4" borderId="12" xfId="0" applyFont="1" applyFill="1" applyBorder="1" applyAlignment="1" applyProtection="1">
      <alignment horizontal="left" vertical="center" wrapText="1"/>
    </xf>
    <xf numFmtId="0" fontId="17" fillId="4" borderId="16" xfId="0" applyNumberFormat="1" applyFont="1" applyFill="1" applyBorder="1" applyAlignment="1" applyProtection="1">
      <alignment horizontal="left" vertical="top" wrapText="1"/>
    </xf>
    <xf numFmtId="0" fontId="11" fillId="0" borderId="19" xfId="0" applyFont="1" applyBorder="1" applyAlignment="1">
      <alignment horizontal="left" vertical="center" wrapText="1"/>
    </xf>
    <xf numFmtId="0" fontId="0" fillId="0" borderId="47" xfId="0" applyBorder="1">
      <alignment vertical="center"/>
    </xf>
    <xf numFmtId="176" fontId="12" fillId="4" borderId="21" xfId="0" applyNumberFormat="1" applyFont="1" applyFill="1" applyBorder="1" applyAlignment="1" applyProtection="1">
      <alignment horizontal="left" vertical="center" wrapText="1"/>
    </xf>
    <xf numFmtId="176" fontId="12" fillId="4" borderId="51" xfId="0" applyNumberFormat="1" applyFont="1" applyFill="1" applyBorder="1" applyAlignment="1" applyProtection="1">
      <alignment horizontal="left" vertical="center" wrapText="1"/>
    </xf>
    <xf numFmtId="0" fontId="24" fillId="6" borderId="30" xfId="0" applyFont="1" applyFill="1" applyBorder="1" applyAlignment="1">
      <alignment horizontal="left" vertical="center" wrapText="1"/>
    </xf>
    <xf numFmtId="0" fontId="33" fillId="6" borderId="19" xfId="0" applyFont="1" applyFill="1" applyBorder="1" applyAlignment="1">
      <alignment horizontal="center" vertical="center" wrapText="1"/>
    </xf>
    <xf numFmtId="178" fontId="11" fillId="6" borderId="19" xfId="0" applyNumberFormat="1" applyFont="1" applyFill="1" applyBorder="1" applyAlignment="1" applyProtection="1">
      <alignment horizontal="center" vertical="center" wrapText="1"/>
    </xf>
    <xf numFmtId="178" fontId="36" fillId="6" borderId="19" xfId="0" applyNumberFormat="1" applyFont="1" applyFill="1" applyBorder="1" applyAlignment="1" applyProtection="1">
      <alignment horizontal="center" vertical="center"/>
      <protection locked="0"/>
    </xf>
    <xf numFmtId="177" fontId="12" fillId="6" borderId="19" xfId="0" applyNumberFormat="1" applyFont="1" applyFill="1" applyBorder="1" applyAlignment="1">
      <alignment horizontal="center" vertical="center"/>
    </xf>
    <xf numFmtId="176" fontId="36" fillId="6" borderId="19" xfId="0" applyNumberFormat="1" applyFont="1" applyFill="1" applyBorder="1" applyAlignment="1">
      <alignment horizontal="center" vertical="center"/>
    </xf>
    <xf numFmtId="178" fontId="36" fillId="6" borderId="19" xfId="0" applyNumberFormat="1" applyFont="1" applyFill="1" applyBorder="1" applyAlignment="1">
      <alignment horizontal="center" vertical="center"/>
    </xf>
    <xf numFmtId="0" fontId="11" fillId="6" borderId="19" xfId="0" applyFont="1" applyFill="1" applyBorder="1" applyAlignment="1" applyProtection="1">
      <alignment horizontal="left" vertical="center" wrapText="1"/>
    </xf>
    <xf numFmtId="178" fontId="36" fillId="6" borderId="19" xfId="0" applyNumberFormat="1" applyFont="1" applyFill="1" applyBorder="1" applyAlignment="1">
      <alignment horizontal="left" vertical="center"/>
    </xf>
    <xf numFmtId="0" fontId="11" fillId="6" borderId="31" xfId="0" applyFont="1" applyFill="1" applyBorder="1" applyAlignment="1" applyProtection="1">
      <alignment horizontal="left" vertical="center" wrapText="1"/>
    </xf>
    <xf numFmtId="40" fontId="10" fillId="4" borderId="9" xfId="0" applyNumberFormat="1" applyFont="1" applyFill="1" applyBorder="1" applyAlignment="1">
      <alignment horizontal="center" vertical="center"/>
    </xf>
    <xf numFmtId="0" fontId="6" fillId="4" borderId="9" xfId="0" applyNumberFormat="1" applyFont="1" applyFill="1" applyBorder="1" applyAlignment="1">
      <alignment horizontal="center" vertical="center"/>
    </xf>
    <xf numFmtId="176" fontId="11" fillId="4" borderId="8" xfId="0" applyNumberFormat="1" applyFont="1" applyFill="1" applyBorder="1" applyAlignment="1" applyProtection="1">
      <alignment horizontal="left" vertical="center" wrapText="1"/>
    </xf>
    <xf numFmtId="176" fontId="33" fillId="4" borderId="34" xfId="0" applyNumberFormat="1" applyFont="1" applyFill="1" applyBorder="1" applyAlignment="1" applyProtection="1">
      <alignment horizontal="center" vertical="center" wrapText="1"/>
    </xf>
    <xf numFmtId="178" fontId="25" fillId="4" borderId="34" xfId="0" applyNumberFormat="1" applyFont="1" applyFill="1" applyBorder="1" applyAlignment="1">
      <alignment horizontal="center" vertical="center"/>
    </xf>
    <xf numFmtId="176" fontId="19" fillId="5" borderId="34" xfId="0" applyNumberFormat="1" applyFont="1" applyFill="1" applyBorder="1" applyAlignment="1" applyProtection="1">
      <alignment horizontal="center" vertical="center"/>
      <protection locked="0"/>
    </xf>
    <xf numFmtId="177" fontId="19" fillId="0" borderId="34" xfId="0" applyNumberFormat="1" applyFont="1" applyBorder="1" applyAlignment="1">
      <alignment horizontal="center" vertical="center"/>
    </xf>
    <xf numFmtId="176" fontId="19" fillId="0" borderId="34" xfId="0" applyNumberFormat="1" applyFont="1" applyBorder="1" applyAlignment="1">
      <alignment horizontal="center" vertical="center"/>
    </xf>
    <xf numFmtId="0" fontId="11" fillId="4" borderId="34" xfId="0" applyFont="1" applyFill="1" applyBorder="1" applyAlignment="1" applyProtection="1">
      <alignment horizontal="center" vertical="center"/>
    </xf>
    <xf numFmtId="0" fontId="11" fillId="0" borderId="34" xfId="0" applyFont="1" applyBorder="1" applyAlignment="1">
      <alignment horizontal="left" vertical="center" wrapText="1"/>
    </xf>
    <xf numFmtId="0" fontId="20" fillId="4" borderId="41" xfId="0" applyFont="1" applyFill="1" applyBorder="1" applyAlignment="1">
      <alignment horizontal="left" vertical="center" wrapText="1"/>
    </xf>
    <xf numFmtId="0" fontId="10" fillId="4" borderId="9" xfId="0" applyNumberFormat="1" applyFont="1" applyFill="1" applyBorder="1" applyAlignment="1">
      <alignment horizontal="left" vertical="center"/>
    </xf>
    <xf numFmtId="0" fontId="19" fillId="0" borderId="8" xfId="0" applyFont="1" applyBorder="1" applyAlignment="1">
      <alignment horizontal="left" vertical="center" wrapText="1"/>
    </xf>
    <xf numFmtId="0" fontId="34" fillId="4" borderId="34" xfId="0" applyFont="1" applyFill="1" applyBorder="1" applyAlignment="1">
      <alignment horizontal="center" vertical="center" wrapText="1"/>
    </xf>
    <xf numFmtId="178" fontId="19" fillId="4" borderId="34" xfId="0" applyNumberFormat="1" applyFont="1" applyFill="1" applyBorder="1" applyAlignment="1">
      <alignment horizontal="center" vertical="center"/>
    </xf>
    <xf numFmtId="0" fontId="12" fillId="0" borderId="9" xfId="3" applyNumberFormat="1" applyFont="1" applyBorder="1" applyAlignment="1" applyProtection="1">
      <alignment horizontal="center" vertical="center" wrapText="1"/>
    </xf>
    <xf numFmtId="0" fontId="19" fillId="4" borderId="9" xfId="0" applyFont="1" applyFill="1" applyBorder="1" applyAlignment="1" applyProtection="1">
      <alignment horizontal="center" vertical="center" wrapText="1"/>
    </xf>
    <xf numFmtId="0" fontId="19" fillId="4" borderId="9"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12" fillId="4" borderId="9" xfId="0" applyFont="1" applyFill="1" applyBorder="1" applyAlignment="1">
      <alignment horizontal="center" vertical="center"/>
    </xf>
    <xf numFmtId="0" fontId="19" fillId="0" borderId="34" xfId="0" applyFont="1" applyBorder="1" applyAlignment="1">
      <alignment horizontal="center" vertical="center" wrapText="1"/>
    </xf>
    <xf numFmtId="0" fontId="56" fillId="4" borderId="0" xfId="0" applyFont="1" applyFill="1" applyAlignment="1">
      <alignment horizontal="center" vertical="center"/>
    </xf>
    <xf numFmtId="0" fontId="56" fillId="0" borderId="0" xfId="0" applyFont="1" applyAlignment="1">
      <alignment horizontal="center" vertical="center"/>
    </xf>
    <xf numFmtId="176" fontId="11" fillId="4" borderId="5" xfId="0" applyNumberFormat="1" applyFont="1" applyFill="1" applyBorder="1" applyAlignment="1" applyProtection="1">
      <alignment horizontal="left" vertical="center" wrapText="1"/>
    </xf>
    <xf numFmtId="0" fontId="19" fillId="0" borderId="6" xfId="0" applyFont="1" applyBorder="1" applyAlignment="1">
      <alignment horizontal="center" vertical="center"/>
    </xf>
    <xf numFmtId="0" fontId="11" fillId="6" borderId="2" xfId="0" applyFont="1" applyFill="1" applyBorder="1" applyAlignment="1" applyProtection="1">
      <alignment horizontal="left" vertical="center" wrapText="1"/>
    </xf>
    <xf numFmtId="0" fontId="8" fillId="11" borderId="3" xfId="2" applyFont="1" applyFill="1" applyBorder="1" applyAlignment="1" applyProtection="1">
      <alignment horizontal="left" vertical="center" wrapText="1"/>
    </xf>
    <xf numFmtId="176" fontId="12" fillId="4" borderId="9" xfId="0" applyNumberFormat="1" applyFont="1" applyFill="1" applyBorder="1" applyAlignment="1" applyProtection="1">
      <alignment horizontal="center" vertical="center" wrapText="1"/>
      <protection locked="0"/>
    </xf>
    <xf numFmtId="0" fontId="11" fillId="4" borderId="9" xfId="0" applyFont="1" applyFill="1" applyBorder="1" applyAlignment="1" applyProtection="1">
      <alignment horizontal="left" vertical="center"/>
    </xf>
    <xf numFmtId="0" fontId="20" fillId="4" borderId="9" xfId="0" applyFont="1" applyFill="1" applyBorder="1" applyAlignment="1" applyProtection="1">
      <alignment horizontal="left" vertical="center" wrapText="1"/>
    </xf>
    <xf numFmtId="176" fontId="19" fillId="5" borderId="9" xfId="0" applyNumberFormat="1" applyFont="1" applyFill="1" applyBorder="1" applyAlignment="1">
      <alignment horizontal="center" vertical="center"/>
    </xf>
    <xf numFmtId="0" fontId="26" fillId="4" borderId="9" xfId="0" applyFont="1" applyFill="1" applyBorder="1" applyAlignment="1">
      <alignment horizontal="center" vertical="center" wrapText="1"/>
    </xf>
    <xf numFmtId="177" fontId="19" fillId="4" borderId="9" xfId="0" applyNumberFormat="1" applyFont="1" applyFill="1" applyBorder="1" applyAlignment="1">
      <alignment horizontal="center" vertical="center"/>
    </xf>
    <xf numFmtId="0" fontId="20" fillId="4" borderId="9" xfId="0" applyFont="1" applyFill="1" applyBorder="1" applyAlignment="1">
      <alignment horizontal="center" vertical="center" wrapText="1"/>
    </xf>
    <xf numFmtId="0" fontId="33" fillId="4" borderId="9" xfId="0" applyFont="1" applyFill="1" applyBorder="1" applyAlignment="1" applyProtection="1">
      <alignment horizontal="center" vertical="center" wrapText="1"/>
    </xf>
    <xf numFmtId="0" fontId="19" fillId="4" borderId="9" xfId="0" applyFont="1" applyFill="1" applyBorder="1" applyAlignment="1" applyProtection="1">
      <alignment horizontal="left" vertical="center" wrapText="1"/>
    </xf>
    <xf numFmtId="178" fontId="19" fillId="4" borderId="9" xfId="0" applyNumberFormat="1" applyFont="1" applyFill="1" applyBorder="1" applyAlignment="1">
      <alignment horizontal="center" vertical="center"/>
    </xf>
    <xf numFmtId="176" fontId="19" fillId="5" borderId="9" xfId="0" applyNumberFormat="1" applyFont="1" applyFill="1" applyBorder="1" applyAlignment="1" applyProtection="1">
      <alignment horizontal="center" vertical="center"/>
      <protection locked="0"/>
    </xf>
    <xf numFmtId="0" fontId="16" fillId="4" borderId="9" xfId="3" applyFont="1" applyFill="1" applyBorder="1" applyAlignment="1">
      <alignment horizontal="left" vertical="center" wrapText="1"/>
    </xf>
    <xf numFmtId="0" fontId="19" fillId="4" borderId="9" xfId="0" applyFont="1" applyFill="1" applyBorder="1" applyAlignment="1">
      <alignment horizontal="center" vertical="center" wrapText="1"/>
    </xf>
    <xf numFmtId="0" fontId="20" fillId="0" borderId="10" xfId="0" applyFont="1" applyFill="1" applyBorder="1" applyAlignment="1">
      <alignment horizontal="left" vertical="center" wrapText="1"/>
    </xf>
    <xf numFmtId="0" fontId="12" fillId="5" borderId="9" xfId="0" applyFont="1" applyFill="1" applyBorder="1" applyAlignment="1" applyProtection="1">
      <alignment horizontal="center" vertical="center"/>
      <protection locked="0"/>
    </xf>
    <xf numFmtId="0" fontId="10" fillId="4" borderId="9" xfId="0" applyFont="1" applyFill="1" applyBorder="1" applyAlignment="1" applyProtection="1">
      <alignment horizontal="center" vertical="center"/>
    </xf>
    <xf numFmtId="176" fontId="12" fillId="5" borderId="9" xfId="0" applyNumberFormat="1" applyFont="1" applyFill="1" applyBorder="1" applyAlignment="1" applyProtection="1">
      <alignment horizontal="center" vertical="center" wrapText="1"/>
      <protection locked="0"/>
    </xf>
    <xf numFmtId="176" fontId="12" fillId="4" borderId="9" xfId="0" applyNumberFormat="1" applyFont="1" applyFill="1" applyBorder="1" applyAlignment="1" applyProtection="1">
      <alignment horizontal="center" vertical="center" wrapText="1"/>
      <protection locked="0"/>
    </xf>
    <xf numFmtId="0" fontId="12" fillId="4" borderId="9" xfId="0" applyFont="1" applyFill="1" applyBorder="1" applyAlignment="1" applyProtection="1">
      <alignment horizontal="center" vertical="center"/>
    </xf>
    <xf numFmtId="178" fontId="12" fillId="0" borderId="9" xfId="0" applyNumberFormat="1" applyFont="1" applyBorder="1" applyAlignment="1" applyProtection="1">
      <alignment horizontal="center" vertical="center"/>
    </xf>
    <xf numFmtId="0" fontId="10" fillId="0" borderId="9" xfId="0" applyFont="1" applyBorder="1" applyAlignment="1" applyProtection="1">
      <alignment horizontal="left" vertical="center" wrapText="1"/>
    </xf>
    <xf numFmtId="178" fontId="12" fillId="0" borderId="9" xfId="0" applyNumberFormat="1" applyFont="1" applyBorder="1" applyAlignment="1" applyProtection="1">
      <alignment horizontal="center" vertical="center" wrapText="1"/>
    </xf>
    <xf numFmtId="0" fontId="11" fillId="4" borderId="9" xfId="0" applyFont="1" applyFill="1" applyBorder="1" applyAlignment="1" applyProtection="1">
      <alignment horizontal="left" vertical="center" wrapText="1"/>
    </xf>
    <xf numFmtId="0" fontId="11" fillId="0" borderId="9" xfId="0" applyFont="1" applyBorder="1" applyAlignment="1" applyProtection="1">
      <alignment horizontal="center" vertical="center"/>
    </xf>
    <xf numFmtId="0" fontId="13" fillId="0" borderId="9" xfId="0" applyFont="1" applyBorder="1" applyAlignment="1" applyProtection="1">
      <alignment horizontal="center" vertical="center" wrapText="1"/>
    </xf>
    <xf numFmtId="176" fontId="12" fillId="5" borderId="9" xfId="0" applyNumberFormat="1" applyFont="1" applyFill="1" applyBorder="1" applyAlignment="1" applyProtection="1">
      <alignment horizontal="center" vertical="center" wrapText="1"/>
    </xf>
    <xf numFmtId="0" fontId="16" fillId="4" borderId="10" xfId="0" applyFont="1" applyFill="1" applyBorder="1" applyAlignment="1" applyProtection="1">
      <alignment horizontal="left" vertical="top" wrapText="1"/>
    </xf>
    <xf numFmtId="0" fontId="16" fillId="4" borderId="9" xfId="3" applyFont="1" applyFill="1" applyBorder="1" applyAlignment="1">
      <alignment horizontal="left" vertical="center" wrapText="1"/>
    </xf>
    <xf numFmtId="0" fontId="16" fillId="4" borderId="9" xfId="3"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10" xfId="0" applyFont="1" applyFill="1" applyBorder="1" applyAlignment="1" applyProtection="1">
      <alignment horizontal="left" vertical="top" wrapText="1"/>
    </xf>
    <xf numFmtId="0" fontId="11" fillId="0" borderId="10" xfId="0" applyFont="1" applyBorder="1" applyAlignment="1" applyProtection="1">
      <alignment horizontal="left" vertical="top" wrapText="1"/>
    </xf>
    <xf numFmtId="0" fontId="11" fillId="4" borderId="9" xfId="0" applyFont="1" applyFill="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4" borderId="9" xfId="0" applyFont="1" applyFill="1" applyBorder="1" applyAlignment="1" applyProtection="1">
      <alignment horizontal="left" vertical="center"/>
    </xf>
    <xf numFmtId="0" fontId="57" fillId="0" borderId="0" xfId="20"/>
    <xf numFmtId="0" fontId="8" fillId="3" borderId="13" xfId="2" applyFont="1" applyFill="1" applyBorder="1" applyAlignment="1" applyProtection="1">
      <alignment horizontal="center" vertical="center" wrapText="1"/>
    </xf>
    <xf numFmtId="0" fontId="19" fillId="4" borderId="22" xfId="20" applyFont="1" applyFill="1" applyBorder="1" applyAlignment="1" applyProtection="1">
      <alignment horizontal="left" vertical="center" wrapText="1"/>
    </xf>
    <xf numFmtId="0" fontId="18" fillId="4" borderId="23" xfId="20" applyFont="1" applyFill="1" applyBorder="1" applyAlignment="1" applyProtection="1">
      <alignment horizontal="left" vertical="center" wrapText="1"/>
    </xf>
    <xf numFmtId="178" fontId="58" fillId="4" borderId="23" xfId="20" applyNumberFormat="1" applyFont="1" applyFill="1" applyBorder="1" applyAlignment="1">
      <alignment horizontal="center" vertical="center"/>
    </xf>
    <xf numFmtId="178" fontId="58" fillId="6" borderId="23" xfId="20" applyNumberFormat="1" applyFont="1" applyFill="1" applyBorder="1" applyAlignment="1">
      <alignment horizontal="center" vertical="center"/>
    </xf>
    <xf numFmtId="176" fontId="58" fillId="6" borderId="23" xfId="20" applyNumberFormat="1" applyFont="1" applyFill="1" applyBorder="1" applyAlignment="1">
      <alignment horizontal="center" vertical="center"/>
    </xf>
    <xf numFmtId="176" fontId="58" fillId="4" borderId="23" xfId="20" applyNumberFormat="1" applyFont="1" applyFill="1" applyBorder="1" applyAlignment="1">
      <alignment horizontal="center" vertical="center"/>
    </xf>
    <xf numFmtId="176" fontId="47" fillId="4" borderId="23" xfId="20" applyNumberFormat="1" applyFont="1" applyFill="1" applyBorder="1" applyAlignment="1">
      <alignment horizontal="center" vertical="center"/>
    </xf>
    <xf numFmtId="0" fontId="59" fillId="4" borderId="23" xfId="20" applyFont="1" applyFill="1" applyBorder="1" applyAlignment="1">
      <alignment horizontal="center" vertical="center"/>
    </xf>
    <xf numFmtId="0" fontId="59" fillId="4" borderId="23" xfId="20" applyFont="1" applyFill="1" applyBorder="1" applyAlignment="1">
      <alignment horizontal="center" vertical="center" wrapText="1"/>
    </xf>
    <xf numFmtId="0" fontId="17" fillId="4" borderId="23" xfId="20" applyNumberFormat="1" applyFont="1" applyFill="1" applyBorder="1" applyAlignment="1" applyProtection="1">
      <alignment horizontal="center" vertical="top" wrapText="1"/>
    </xf>
    <xf numFmtId="0" fontId="17" fillId="4" borderId="24" xfId="20" applyNumberFormat="1" applyFont="1" applyFill="1" applyBorder="1" applyAlignment="1" applyProtection="1">
      <alignment horizontal="center" vertical="top" wrapText="1"/>
    </xf>
    <xf numFmtId="0" fontId="19" fillId="4" borderId="27" xfId="20" applyFont="1" applyFill="1" applyBorder="1" applyAlignment="1" applyProtection="1">
      <alignment horizontal="left" vertical="center" wrapText="1"/>
    </xf>
    <xf numFmtId="0" fontId="59" fillId="4" borderId="9" xfId="20" applyFont="1" applyFill="1" applyBorder="1" applyAlignment="1" applyProtection="1">
      <alignment horizontal="left" vertical="center" wrapText="1"/>
    </xf>
    <xf numFmtId="178" fontId="58" fillId="4" borderId="9" xfId="20" applyNumberFormat="1" applyFont="1" applyFill="1" applyBorder="1" applyAlignment="1">
      <alignment horizontal="center" vertical="center"/>
    </xf>
    <xf numFmtId="176" fontId="58" fillId="6" borderId="9" xfId="20" applyNumberFormat="1" applyFont="1" applyFill="1" applyBorder="1" applyAlignment="1">
      <alignment horizontal="center" vertical="center"/>
    </xf>
    <xf numFmtId="176" fontId="58" fillId="4" borderId="9" xfId="20" applyNumberFormat="1" applyFont="1" applyFill="1" applyBorder="1" applyAlignment="1">
      <alignment horizontal="center" vertical="center"/>
    </xf>
    <xf numFmtId="176" fontId="47" fillId="4" borderId="9" xfId="20" applyNumberFormat="1" applyFont="1" applyFill="1" applyBorder="1" applyAlignment="1">
      <alignment horizontal="center" vertical="center"/>
    </xf>
    <xf numFmtId="0" fontId="59" fillId="4" borderId="9" xfId="20" applyFont="1" applyFill="1" applyBorder="1" applyAlignment="1">
      <alignment horizontal="center" vertical="center"/>
    </xf>
    <xf numFmtId="0" fontId="59" fillId="4" borderId="14" xfId="20" applyFont="1" applyFill="1" applyBorder="1" applyAlignment="1">
      <alignment horizontal="center" vertical="top" wrapText="1"/>
    </xf>
    <xf numFmtId="0" fontId="20" fillId="4" borderId="9" xfId="20" applyFont="1" applyFill="1" applyBorder="1" applyAlignment="1">
      <alignment horizontal="left" vertical="top" wrapText="1"/>
    </xf>
    <xf numFmtId="0" fontId="57" fillId="4" borderId="0" xfId="20" applyFill="1"/>
    <xf numFmtId="178" fontId="58" fillId="6" borderId="9" xfId="20" applyNumberFormat="1" applyFont="1" applyFill="1" applyBorder="1" applyAlignment="1">
      <alignment horizontal="center" vertical="center"/>
    </xf>
    <xf numFmtId="0" fontId="20" fillId="0" borderId="9" xfId="20" applyFont="1" applyBorder="1" applyAlignment="1">
      <alignment horizontal="center" vertical="top" wrapText="1"/>
    </xf>
    <xf numFmtId="0" fontId="17" fillId="4" borderId="9" xfId="20" applyFont="1" applyFill="1" applyBorder="1" applyAlignment="1">
      <alignment horizontal="left" vertical="top" wrapText="1"/>
    </xf>
    <xf numFmtId="0" fontId="17" fillId="4" borderId="10" xfId="20" applyFont="1" applyFill="1" applyBorder="1" applyAlignment="1">
      <alignment horizontal="left" vertical="top" wrapText="1"/>
    </xf>
    <xf numFmtId="0" fontId="20" fillId="4" borderId="10" xfId="20" applyFont="1" applyFill="1" applyBorder="1" applyAlignment="1">
      <alignment horizontal="left" vertical="top" wrapText="1"/>
    </xf>
    <xf numFmtId="0" fontId="59" fillId="4" borderId="9" xfId="20" applyFont="1" applyFill="1" applyBorder="1" applyAlignment="1" applyProtection="1">
      <alignment horizontal="left" vertical="center" wrapText="1"/>
    </xf>
    <xf numFmtId="0" fontId="59" fillId="4" borderId="9" xfId="20" applyFont="1" applyFill="1" applyBorder="1" applyAlignment="1">
      <alignment horizontal="center" vertical="top" wrapText="1"/>
    </xf>
    <xf numFmtId="0" fontId="20" fillId="0" borderId="9" xfId="20" applyFont="1" applyBorder="1" applyAlignment="1">
      <alignment horizontal="left" vertical="top" wrapText="1"/>
    </xf>
    <xf numFmtId="0" fontId="20" fillId="0" borderId="10" xfId="20" applyFont="1" applyBorder="1" applyAlignment="1">
      <alignment horizontal="left" vertical="top" wrapText="1"/>
    </xf>
    <xf numFmtId="0" fontId="17" fillId="4" borderId="9" xfId="20" applyFont="1" applyFill="1" applyBorder="1" applyAlignment="1">
      <alignment horizontal="center" vertical="top" wrapText="1"/>
    </xf>
    <xf numFmtId="0" fontId="17" fillId="0" borderId="9" xfId="20" applyFont="1" applyBorder="1" applyAlignment="1">
      <alignment horizontal="center" vertical="top" wrapText="1"/>
    </xf>
    <xf numFmtId="0" fontId="17" fillId="0" borderId="9" xfId="20" applyFont="1" applyBorder="1" applyAlignment="1">
      <alignment horizontal="left" vertical="top" wrapText="1"/>
    </xf>
    <xf numFmtId="0" fontId="17" fillId="0" borderId="10" xfId="20" applyFont="1" applyBorder="1" applyAlignment="1">
      <alignment horizontal="left" vertical="top" wrapText="1"/>
    </xf>
    <xf numFmtId="0" fontId="18" fillId="4" borderId="9" xfId="20" applyFont="1" applyFill="1" applyBorder="1" applyAlignment="1" applyProtection="1">
      <alignment horizontal="left" vertical="center" wrapText="1"/>
    </xf>
    <xf numFmtId="0" fontId="17" fillId="0" borderId="9" xfId="20" applyFont="1" applyBorder="1" applyAlignment="1">
      <alignment vertical="top" wrapText="1"/>
    </xf>
    <xf numFmtId="0" fontId="17" fillId="0" borderId="10" xfId="20" applyFont="1" applyBorder="1" applyAlignment="1">
      <alignment vertical="top" wrapText="1"/>
    </xf>
    <xf numFmtId="0" fontId="60" fillId="0" borderId="9" xfId="20" applyFont="1" applyBorder="1" applyAlignment="1">
      <alignment vertical="top" wrapText="1"/>
    </xf>
    <xf numFmtId="0" fontId="60" fillId="0" borderId="10" xfId="20" applyFont="1" applyBorder="1" applyAlignment="1">
      <alignment vertical="top" wrapText="1"/>
    </xf>
    <xf numFmtId="0" fontId="25" fillId="4" borderId="9" xfId="20" applyFont="1" applyFill="1" applyBorder="1" applyAlignment="1" applyProtection="1">
      <alignment horizontal="left" vertical="center" wrapText="1"/>
    </xf>
    <xf numFmtId="178" fontId="58" fillId="6" borderId="13" xfId="20" applyNumberFormat="1" applyFont="1" applyFill="1" applyBorder="1" applyAlignment="1">
      <alignment horizontal="center" vertical="center"/>
    </xf>
    <xf numFmtId="178" fontId="58" fillId="6" borderId="14" xfId="20" applyNumberFormat="1" applyFont="1" applyFill="1" applyBorder="1" applyAlignment="1">
      <alignment horizontal="center" vertical="center"/>
    </xf>
    <xf numFmtId="178" fontId="58" fillId="6" borderId="6" xfId="20" applyNumberFormat="1" applyFont="1" applyFill="1" applyBorder="1" applyAlignment="1">
      <alignment horizontal="center" vertical="center"/>
    </xf>
    <xf numFmtId="0" fontId="12" fillId="14" borderId="8" xfId="20" applyFont="1" applyFill="1" applyBorder="1" applyAlignment="1" applyProtection="1">
      <alignment horizontal="left" vertical="center" wrapText="1"/>
    </xf>
    <xf numFmtId="0" fontId="12" fillId="14" borderId="9" xfId="20" applyFont="1" applyFill="1" applyBorder="1" applyAlignment="1" applyProtection="1">
      <alignment horizontal="left" vertical="center" wrapText="1"/>
    </xf>
    <xf numFmtId="0" fontId="12" fillId="14" borderId="9" xfId="20" applyFont="1" applyFill="1" applyBorder="1" applyAlignment="1" applyProtection="1">
      <alignment horizontal="center" vertical="center" wrapText="1"/>
    </xf>
    <xf numFmtId="176" fontId="12" fillId="6" borderId="9" xfId="20" applyNumberFormat="1" applyFont="1" applyFill="1" applyBorder="1" applyAlignment="1" applyProtection="1">
      <alignment horizontal="center" vertical="center" wrapText="1"/>
    </xf>
    <xf numFmtId="176" fontId="12" fillId="14" borderId="9" xfId="20" applyNumberFormat="1" applyFont="1" applyFill="1" applyBorder="1" applyAlignment="1" applyProtection="1">
      <alignment horizontal="center" vertical="center" wrapText="1"/>
    </xf>
    <xf numFmtId="185" fontId="12" fillId="14" borderId="9" xfId="20" applyNumberFormat="1" applyFont="1" applyFill="1" applyBorder="1" applyAlignment="1" applyProtection="1">
      <alignment horizontal="center" vertical="center" wrapText="1"/>
    </xf>
    <xf numFmtId="0" fontId="12" fillId="14" borderId="10" xfId="20" applyFont="1" applyFill="1" applyBorder="1" applyAlignment="1" applyProtection="1">
      <alignment horizontal="center" vertical="center" wrapText="1"/>
    </xf>
    <xf numFmtId="0" fontId="24" fillId="0" borderId="40" xfId="20" applyFont="1" applyBorder="1" applyAlignment="1">
      <alignment horizontal="left" vertical="center" wrapText="1"/>
    </xf>
    <xf numFmtId="176" fontId="57" fillId="0" borderId="0" xfId="20" applyNumberFormat="1"/>
    <xf numFmtId="176" fontId="57" fillId="4" borderId="0" xfId="20" applyNumberFormat="1" applyFill="1"/>
    <xf numFmtId="0" fontId="59" fillId="4" borderId="9" xfId="0" applyFont="1" applyFill="1" applyBorder="1" applyAlignment="1" applyProtection="1">
      <alignment horizontal="left" vertical="center" wrapText="1"/>
    </xf>
    <xf numFmtId="178" fontId="58" fillId="4" borderId="9" xfId="0" applyNumberFormat="1" applyFont="1" applyFill="1" applyBorder="1" applyAlignment="1">
      <alignment horizontal="center" vertical="center"/>
    </xf>
    <xf numFmtId="178" fontId="58" fillId="6" borderId="9" xfId="0" applyNumberFormat="1" applyFont="1" applyFill="1" applyBorder="1" applyAlignment="1">
      <alignment horizontal="center" vertical="center"/>
    </xf>
    <xf numFmtId="176" fontId="58" fillId="6" borderId="9" xfId="0" applyNumberFormat="1" applyFont="1" applyFill="1" applyBorder="1" applyAlignment="1">
      <alignment horizontal="center" vertical="center"/>
    </xf>
    <xf numFmtId="176" fontId="58" fillId="4" borderId="9" xfId="0" applyNumberFormat="1" applyFont="1" applyFill="1" applyBorder="1" applyAlignment="1">
      <alignment horizontal="center" vertical="center"/>
    </xf>
    <xf numFmtId="176" fontId="47" fillId="4" borderId="9" xfId="0" applyNumberFormat="1" applyFont="1" applyFill="1" applyBorder="1" applyAlignment="1">
      <alignment horizontal="center" vertical="center"/>
    </xf>
    <xf numFmtId="0" fontId="59" fillId="4" borderId="9" xfId="0" applyFont="1" applyFill="1" applyBorder="1" applyAlignment="1">
      <alignment horizontal="center" vertical="center"/>
    </xf>
    <xf numFmtId="0" fontId="59" fillId="4" borderId="9" xfId="0" applyFont="1" applyFill="1" applyBorder="1" applyAlignment="1">
      <alignment horizontal="center" vertical="center" wrapText="1"/>
    </xf>
    <xf numFmtId="0" fontId="20" fillId="0" borderId="9" xfId="0" applyFont="1" applyBorder="1" applyAlignment="1">
      <alignment horizontal="center"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59" fillId="4" borderId="14" xfId="20" applyFont="1" applyFill="1" applyBorder="1" applyAlignment="1">
      <alignment horizontal="center" vertical="top" wrapText="1"/>
    </xf>
    <xf numFmtId="0" fontId="17" fillId="4" borderId="9" xfId="20" applyFont="1" applyFill="1" applyBorder="1" applyAlignment="1">
      <alignment horizontal="left" vertical="top" wrapText="1"/>
    </xf>
    <xf numFmtId="0" fontId="18" fillId="4" borderId="14" xfId="20" applyFont="1" applyFill="1" applyBorder="1" applyAlignment="1">
      <alignment horizontal="left" vertical="top" wrapText="1"/>
    </xf>
    <xf numFmtId="176" fontId="12" fillId="4" borderId="9" xfId="0" applyNumberFormat="1" applyFont="1" applyFill="1" applyBorder="1" applyAlignment="1" applyProtection="1">
      <alignment horizontal="center" vertical="center" wrapText="1"/>
      <protection locked="0"/>
    </xf>
    <xf numFmtId="0" fontId="61" fillId="4" borderId="0" xfId="0" applyFont="1" applyFill="1" applyBorder="1" applyAlignment="1">
      <alignment horizontal="center" vertical="center"/>
    </xf>
    <xf numFmtId="0" fontId="52" fillId="3" borderId="23" xfId="2" applyFont="1" applyFill="1" applyBorder="1" applyAlignment="1" applyProtection="1">
      <alignment horizontal="center" vertical="center"/>
    </xf>
    <xf numFmtId="0" fontId="52" fillId="3" borderId="24" xfId="2" applyFont="1" applyFill="1" applyBorder="1" applyAlignment="1" applyProtection="1">
      <alignment horizontal="center" vertical="center"/>
    </xf>
    <xf numFmtId="0" fontId="21" fillId="4" borderId="9"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178" fontId="21" fillId="4" borderId="10" xfId="0" applyNumberFormat="1" applyFont="1" applyFill="1" applyBorder="1" applyAlignment="1" applyProtection="1">
      <alignment horizontal="center" vertical="center" wrapText="1"/>
    </xf>
    <xf numFmtId="176" fontId="65" fillId="5" borderId="9" xfId="0" applyNumberFormat="1" applyFont="1" applyFill="1" applyBorder="1" applyAlignment="1" applyProtection="1">
      <alignment horizontal="center" vertical="center" wrapText="1"/>
      <protection locked="0"/>
    </xf>
    <xf numFmtId="0" fontId="66" fillId="4" borderId="9" xfId="11" applyFont="1" applyFill="1" applyBorder="1" applyAlignment="1" applyProtection="1">
      <alignment vertical="center"/>
    </xf>
    <xf numFmtId="178" fontId="10" fillId="4" borderId="10" xfId="11" applyNumberFormat="1" applyFont="1" applyFill="1" applyBorder="1" applyAlignment="1" applyProtection="1">
      <alignment horizontal="right" vertical="center" wrapText="1"/>
    </xf>
    <xf numFmtId="176" fontId="10" fillId="4" borderId="9" xfId="0" applyNumberFormat="1" applyFont="1" applyFill="1" applyBorder="1" applyAlignment="1" applyProtection="1">
      <alignment horizontal="center" vertical="center" wrapText="1"/>
    </xf>
    <xf numFmtId="0" fontId="68" fillId="4" borderId="9" xfId="0" applyFont="1" applyFill="1" applyBorder="1" applyAlignment="1" applyProtection="1">
      <alignment horizontal="center" vertical="center" wrapText="1"/>
    </xf>
    <xf numFmtId="178" fontId="39" fillId="4" borderId="10" xfId="0" applyNumberFormat="1" applyFont="1" applyFill="1" applyBorder="1" applyAlignment="1" applyProtection="1">
      <alignment horizontal="right" vertical="center" wrapText="1"/>
    </xf>
    <xf numFmtId="0" fontId="27" fillId="0" borderId="0" xfId="8" applyFont="1">
      <alignment vertical="center"/>
    </xf>
    <xf numFmtId="0" fontId="73" fillId="7" borderId="22" xfId="8" applyNumberFormat="1" applyFont="1" applyFill="1" applyBorder="1" applyAlignment="1" applyProtection="1">
      <alignment horizontal="center" vertical="center" wrapText="1"/>
      <protection locked="0"/>
    </xf>
    <xf numFmtId="0" fontId="73" fillId="7" borderId="58" xfId="8" applyFont="1" applyFill="1" applyBorder="1" applyAlignment="1" applyProtection="1">
      <alignment horizontal="center" vertical="center" wrapText="1"/>
      <protection locked="0"/>
    </xf>
    <xf numFmtId="0" fontId="73" fillId="7" borderId="24" xfId="8" applyFont="1" applyFill="1" applyBorder="1" applyAlignment="1" applyProtection="1">
      <alignment vertical="center" wrapText="1"/>
      <protection locked="0"/>
    </xf>
    <xf numFmtId="0" fontId="10" fillId="0" borderId="63" xfId="8" applyFont="1" applyFill="1" applyBorder="1" applyAlignment="1" applyProtection="1">
      <alignment horizontal="center" vertical="center" wrapText="1"/>
      <protection locked="0"/>
    </xf>
    <xf numFmtId="0" fontId="10" fillId="0" borderId="64" xfId="8" applyNumberFormat="1" applyFont="1" applyFill="1" applyBorder="1" applyAlignment="1" applyProtection="1">
      <alignment horizontal="center" vertical="center" wrapText="1"/>
      <protection locked="0"/>
    </xf>
    <xf numFmtId="0" fontId="16" fillId="0" borderId="64" xfId="8" applyFont="1" applyFill="1" applyBorder="1" applyAlignment="1" applyProtection="1">
      <alignment horizontal="center" vertical="center"/>
      <protection locked="0"/>
    </xf>
    <xf numFmtId="0" fontId="16" fillId="0" borderId="64" xfId="8" applyFont="1" applyFill="1" applyBorder="1" applyAlignment="1" applyProtection="1">
      <alignment horizontal="left" vertical="center" wrapText="1"/>
      <protection locked="0"/>
    </xf>
    <xf numFmtId="0" fontId="16" fillId="0" borderId="64" xfId="8" applyFont="1" applyFill="1" applyBorder="1" applyAlignment="1" applyProtection="1">
      <alignment vertical="center" wrapText="1"/>
      <protection locked="0"/>
    </xf>
    <xf numFmtId="0" fontId="27" fillId="0" borderId="0" xfId="8" applyFont="1" applyProtection="1">
      <alignment vertical="center"/>
      <protection locked="0"/>
    </xf>
    <xf numFmtId="0" fontId="73" fillId="0" borderId="8" xfId="8" applyNumberFormat="1" applyFont="1" applyFill="1" applyBorder="1" applyAlignment="1" applyProtection="1">
      <alignment horizontal="center" vertical="center" wrapText="1"/>
      <protection locked="0"/>
    </xf>
    <xf numFmtId="0" fontId="10" fillId="0" borderId="25" xfId="8" applyFont="1" applyFill="1" applyBorder="1" applyAlignment="1" applyProtection="1">
      <alignment horizontal="center" vertical="center" wrapText="1"/>
      <protection locked="0"/>
    </xf>
    <xf numFmtId="0" fontId="73" fillId="0" borderId="10" xfId="8" applyFont="1" applyFill="1" applyBorder="1" applyAlignment="1" applyProtection="1">
      <alignment horizontal="center" vertical="center" wrapText="1"/>
      <protection locked="0"/>
    </xf>
    <xf numFmtId="0" fontId="10" fillId="0" borderId="64" xfId="8" applyFont="1" applyFill="1" applyBorder="1" applyAlignment="1" applyProtection="1">
      <alignment horizontal="center" vertical="center" wrapText="1"/>
      <protection locked="0"/>
    </xf>
    <xf numFmtId="0" fontId="10" fillId="0" borderId="8" xfId="8" applyNumberFormat="1" applyFont="1" applyFill="1" applyBorder="1" applyAlignment="1" applyProtection="1">
      <alignment horizontal="center" vertical="center" wrapText="1"/>
      <protection locked="0"/>
    </xf>
    <xf numFmtId="0" fontId="10" fillId="0" borderId="11" xfId="8" applyNumberFormat="1" applyFont="1" applyFill="1" applyBorder="1" applyAlignment="1" applyProtection="1">
      <alignment horizontal="center" vertical="center" wrapText="1"/>
      <protection locked="0"/>
    </xf>
    <xf numFmtId="0" fontId="10" fillId="0" borderId="49" xfId="8" applyFont="1" applyFill="1" applyBorder="1" applyAlignment="1" applyProtection="1">
      <alignment horizontal="center" vertical="center" wrapText="1"/>
      <protection locked="0"/>
    </xf>
    <xf numFmtId="0" fontId="73" fillId="0" borderId="15" xfId="8" applyFont="1" applyFill="1" applyBorder="1" applyAlignment="1" applyProtection="1">
      <alignment horizontal="center" vertical="center" wrapText="1"/>
      <protection locked="0"/>
    </xf>
    <xf numFmtId="0" fontId="10" fillId="0" borderId="65" xfId="8" applyFont="1" applyFill="1" applyBorder="1" applyAlignment="1" applyProtection="1">
      <alignment horizontal="center" vertical="center" wrapText="1"/>
      <protection locked="0"/>
    </xf>
    <xf numFmtId="0" fontId="10" fillId="0" borderId="66" xfId="8" applyFont="1" applyFill="1" applyBorder="1" applyAlignment="1" applyProtection="1">
      <alignment horizontal="center" vertical="center" wrapText="1"/>
      <protection locked="0"/>
    </xf>
    <xf numFmtId="0" fontId="10" fillId="0" borderId="66" xfId="8" applyNumberFormat="1" applyFont="1" applyFill="1" applyBorder="1" applyAlignment="1" applyProtection="1">
      <alignment horizontal="center" vertical="center" wrapText="1"/>
      <protection locked="0"/>
    </xf>
    <xf numFmtId="0" fontId="16" fillId="0" borderId="66" xfId="8" applyFont="1" applyFill="1" applyBorder="1" applyAlignment="1" applyProtection="1">
      <alignment horizontal="center" vertical="center"/>
      <protection locked="0"/>
    </xf>
    <xf numFmtId="0" fontId="16" fillId="0" borderId="66" xfId="8" applyFont="1" applyFill="1" applyBorder="1" applyAlignment="1" applyProtection="1">
      <alignment horizontal="left" vertical="center" wrapText="1"/>
      <protection locked="0"/>
    </xf>
    <xf numFmtId="0" fontId="16" fillId="0" borderId="66" xfId="8" applyFont="1" applyFill="1" applyBorder="1" applyAlignment="1" applyProtection="1">
      <alignment vertical="center" wrapText="1"/>
      <protection locked="0"/>
    </xf>
    <xf numFmtId="0" fontId="73" fillId="4" borderId="0" xfId="8" applyFont="1" applyFill="1" applyBorder="1" applyAlignment="1" applyProtection="1">
      <alignment horizontal="center" vertical="center" wrapText="1"/>
      <protection locked="0"/>
    </xf>
    <xf numFmtId="0" fontId="10" fillId="4" borderId="0" xfId="8" applyFont="1" applyFill="1" applyBorder="1" applyAlignment="1" applyProtection="1">
      <alignment horizontal="center" vertical="center" wrapText="1"/>
      <protection locked="0"/>
    </xf>
    <xf numFmtId="0" fontId="10" fillId="4" borderId="0" xfId="8" applyNumberFormat="1" applyFont="1" applyFill="1" applyBorder="1" applyAlignment="1" applyProtection="1">
      <alignment horizontal="center" vertical="center" wrapText="1"/>
      <protection locked="0"/>
    </xf>
    <xf numFmtId="0" fontId="16" fillId="4" borderId="0" xfId="8" applyFont="1" applyFill="1" applyBorder="1" applyAlignment="1" applyProtection="1">
      <alignment horizontal="center" vertical="center"/>
      <protection locked="0"/>
    </xf>
    <xf numFmtId="0" fontId="16" fillId="4" borderId="0" xfId="8" applyFont="1" applyFill="1" applyBorder="1" applyAlignment="1" applyProtection="1">
      <alignment horizontal="left" vertical="center" wrapText="1"/>
      <protection locked="0"/>
    </xf>
    <xf numFmtId="0" fontId="16" fillId="0" borderId="0" xfId="8" applyFont="1" applyFill="1" applyBorder="1" applyAlignment="1" applyProtection="1">
      <alignment vertical="center" wrapText="1"/>
      <protection locked="0"/>
    </xf>
    <xf numFmtId="0" fontId="16" fillId="0" borderId="0" xfId="8" applyFont="1" applyFill="1" applyBorder="1" applyAlignment="1" applyProtection="1">
      <alignment horizontal="center" vertical="center"/>
      <protection locked="0"/>
    </xf>
    <xf numFmtId="0" fontId="10" fillId="6" borderId="9" xfId="8" applyFont="1" applyFill="1" applyBorder="1" applyAlignment="1" applyProtection="1">
      <alignment horizontal="center" vertical="center" wrapText="1"/>
    </xf>
    <xf numFmtId="0" fontId="12" fillId="0" borderId="13" xfId="9" applyFont="1" applyFill="1" applyBorder="1" applyAlignment="1" applyProtection="1">
      <alignment horizontal="center" vertical="center"/>
      <protection locked="0"/>
    </xf>
    <xf numFmtId="0" fontId="11" fillId="0" borderId="13" xfId="9" applyFont="1" applyFill="1" applyBorder="1" applyAlignment="1" applyProtection="1">
      <alignment horizontal="center" vertical="center"/>
      <protection locked="0"/>
    </xf>
    <xf numFmtId="0" fontId="11" fillId="0" borderId="9" xfId="8" applyFont="1" applyFill="1" applyBorder="1" applyAlignment="1" applyProtection="1">
      <alignment horizontal="center" vertical="center"/>
      <protection locked="0"/>
    </xf>
    <xf numFmtId="0" fontId="11" fillId="0" borderId="9" xfId="9" applyFont="1" applyFill="1" applyBorder="1" applyAlignment="1" applyProtection="1">
      <alignment horizontal="center" vertical="center"/>
    </xf>
    <xf numFmtId="0" fontId="11" fillId="0" borderId="9" xfId="9" applyFont="1" applyFill="1" applyBorder="1" applyAlignment="1" applyProtection="1">
      <alignment horizontal="center" vertical="center"/>
      <protection locked="0"/>
    </xf>
    <xf numFmtId="0" fontId="11" fillId="0" borderId="10" xfId="9" applyFont="1" applyFill="1" applyBorder="1" applyAlignment="1" applyProtection="1">
      <alignment horizontal="left" vertical="top" wrapText="1"/>
      <protection locked="0"/>
    </xf>
    <xf numFmtId="0" fontId="7" fillId="0" borderId="0" xfId="8" applyFont="1" applyFill="1" applyProtection="1">
      <alignment vertical="center"/>
      <protection locked="0"/>
    </xf>
    <xf numFmtId="0" fontId="7" fillId="0" borderId="0" xfId="8" applyFont="1" applyFill="1">
      <alignment vertical="center"/>
    </xf>
    <xf numFmtId="0" fontId="12" fillId="6" borderId="9" xfId="9" applyFont="1" applyFill="1" applyBorder="1" applyAlignment="1" applyProtection="1">
      <alignment horizontal="center" vertical="center"/>
      <protection locked="0"/>
    </xf>
    <xf numFmtId="0" fontId="12" fillId="6" borderId="9" xfId="9" applyFont="1" applyFill="1" applyBorder="1" applyAlignment="1" applyProtection="1">
      <alignment horizontal="center" vertical="center"/>
    </xf>
    <xf numFmtId="0" fontId="11" fillId="4" borderId="10" xfId="9" applyFont="1" applyFill="1" applyBorder="1" applyAlignment="1" applyProtection="1">
      <alignment horizontal="left" vertical="top" wrapText="1"/>
      <protection locked="0"/>
    </xf>
    <xf numFmtId="0" fontId="11" fillId="17" borderId="9" xfId="9" applyFont="1" applyFill="1" applyBorder="1" applyAlignment="1" applyProtection="1">
      <alignment horizontal="center" vertical="center"/>
      <protection locked="0"/>
    </xf>
    <xf numFmtId="0" fontId="12" fillId="17" borderId="9" xfId="9" applyFont="1" applyFill="1" applyBorder="1" applyAlignment="1" applyProtection="1">
      <alignment horizontal="center" vertical="center"/>
      <protection locked="0"/>
    </xf>
    <xf numFmtId="0" fontId="12" fillId="17" borderId="9" xfId="9" applyFont="1" applyFill="1" applyBorder="1" applyAlignment="1" applyProtection="1">
      <alignment horizontal="center" vertical="center"/>
    </xf>
    <xf numFmtId="0" fontId="7" fillId="0" borderId="0" xfId="8" applyFont="1" applyFill="1" applyAlignment="1" applyProtection="1">
      <alignment vertical="center" wrapText="1"/>
      <protection locked="0"/>
    </xf>
    <xf numFmtId="0" fontId="10" fillId="7" borderId="9" xfId="8" applyFont="1" applyFill="1" applyBorder="1" applyAlignment="1" applyProtection="1">
      <alignment horizontal="center" vertical="center" wrapText="1"/>
      <protection locked="0"/>
    </xf>
    <xf numFmtId="0" fontId="10" fillId="7" borderId="9" xfId="8" applyFont="1" applyFill="1" applyBorder="1" applyAlignment="1" applyProtection="1">
      <alignment horizontal="center" vertical="center" wrapText="1"/>
    </xf>
    <xf numFmtId="0" fontId="10" fillId="7" borderId="10" xfId="8" applyFont="1" applyFill="1" applyBorder="1" applyAlignment="1" applyProtection="1">
      <alignment horizontal="center" vertical="center" wrapText="1"/>
      <protection locked="0"/>
    </xf>
    <xf numFmtId="0" fontId="10" fillId="17" borderId="9" xfId="8" applyFont="1" applyFill="1" applyBorder="1" applyAlignment="1" applyProtection="1">
      <alignment horizontal="center" vertical="center" wrapText="1"/>
      <protection locked="0"/>
    </xf>
    <xf numFmtId="0" fontId="11" fillId="0" borderId="25" xfId="9" applyFont="1" applyFill="1" applyBorder="1" applyAlignment="1" applyProtection="1">
      <alignment horizontal="center" vertical="center"/>
    </xf>
    <xf numFmtId="0" fontId="11" fillId="0" borderId="9" xfId="8" applyFont="1" applyFill="1" applyBorder="1" applyAlignment="1" applyProtection="1">
      <alignment horizontal="center" vertical="center" wrapText="1"/>
      <protection locked="0"/>
    </xf>
    <xf numFmtId="0" fontId="11" fillId="0" borderId="10" xfId="9" applyFont="1" applyFill="1" applyBorder="1" applyAlignment="1" applyProtection="1">
      <alignment vertical="top" wrapText="1"/>
      <protection locked="0"/>
    </xf>
    <xf numFmtId="0" fontId="11" fillId="0" borderId="10" xfId="9" applyFont="1" applyBorder="1" applyAlignment="1" applyProtection="1">
      <alignment vertical="top" wrapText="1"/>
      <protection locked="0"/>
    </xf>
    <xf numFmtId="0" fontId="11" fillId="0" borderId="27" xfId="0" applyFont="1" applyFill="1" applyBorder="1" applyAlignment="1" applyProtection="1">
      <alignment horizontal="center" vertical="center" wrapText="1"/>
    </xf>
    <xf numFmtId="0" fontId="11" fillId="4" borderId="10" xfId="9" applyFont="1" applyFill="1" applyBorder="1" applyAlignment="1" applyProtection="1">
      <alignment vertical="top" wrapText="1"/>
      <protection locked="0"/>
    </xf>
    <xf numFmtId="0" fontId="11" fillId="0" borderId="9" xfId="6" applyFont="1" applyFill="1" applyBorder="1" applyAlignment="1" applyProtection="1">
      <alignment horizontal="center" vertical="center"/>
    </xf>
    <xf numFmtId="0" fontId="11" fillId="0" borderId="10" xfId="9" applyFont="1" applyBorder="1" applyAlignment="1" applyProtection="1">
      <alignment horizontal="left" vertical="top" wrapText="1"/>
      <protection locked="0"/>
    </xf>
    <xf numFmtId="0" fontId="11" fillId="0" borderId="53"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xf>
    <xf numFmtId="0" fontId="11" fillId="4" borderId="13" xfId="9" applyFont="1" applyFill="1" applyBorder="1" applyAlignment="1" applyProtection="1">
      <alignment horizontal="center" vertical="center"/>
      <protection locked="0"/>
    </xf>
    <xf numFmtId="0" fontId="11" fillId="4" borderId="9" xfId="8" applyFont="1" applyFill="1" applyBorder="1" applyAlignment="1" applyProtection="1">
      <alignment horizontal="center" vertical="center"/>
      <protection locked="0"/>
    </xf>
    <xf numFmtId="0" fontId="14" fillId="4" borderId="9" xfId="9" applyFont="1" applyFill="1" applyBorder="1" applyAlignment="1" applyProtection="1">
      <alignment horizontal="center" vertical="center"/>
    </xf>
    <xf numFmtId="0" fontId="14" fillId="4" borderId="25" xfId="9" applyFont="1" applyFill="1" applyBorder="1" applyAlignment="1" applyProtection="1">
      <alignment horizontal="center" vertical="center"/>
    </xf>
    <xf numFmtId="0" fontId="14" fillId="4" borderId="9" xfId="9" applyFont="1" applyFill="1" applyBorder="1" applyAlignment="1" applyProtection="1">
      <alignment horizontal="center" vertical="center"/>
      <protection locked="0"/>
    </xf>
    <xf numFmtId="186" fontId="12" fillId="7" borderId="9" xfId="9" applyNumberFormat="1" applyFont="1" applyFill="1" applyBorder="1" applyAlignment="1" applyProtection="1">
      <alignment horizontal="center" vertical="center"/>
      <protection locked="0"/>
    </xf>
    <xf numFmtId="186" fontId="12" fillId="7" borderId="9" xfId="9" applyNumberFormat="1" applyFont="1" applyFill="1" applyBorder="1" applyAlignment="1" applyProtection="1">
      <alignment horizontal="center" vertical="center"/>
    </xf>
    <xf numFmtId="179" fontId="12" fillId="7" borderId="10" xfId="9" applyNumberFormat="1" applyFont="1" applyFill="1" applyBorder="1" applyAlignment="1" applyProtection="1">
      <alignment horizontal="center" vertical="center"/>
      <protection locked="0"/>
    </xf>
    <xf numFmtId="186" fontId="12" fillId="18" borderId="34" xfId="9" applyNumberFormat="1" applyFont="1" applyFill="1" applyBorder="1" applyAlignment="1" applyProtection="1">
      <alignment horizontal="center" vertical="center"/>
      <protection locked="0"/>
    </xf>
    <xf numFmtId="186" fontId="12" fillId="18" borderId="34" xfId="9" applyNumberFormat="1" applyFont="1" applyFill="1" applyBorder="1" applyAlignment="1" applyProtection="1">
      <alignment horizontal="center" vertical="center"/>
    </xf>
    <xf numFmtId="179" fontId="12" fillId="18" borderId="41" xfId="9" applyNumberFormat="1" applyFont="1" applyFill="1" applyBorder="1" applyAlignment="1" applyProtection="1">
      <alignment horizontal="center" vertical="center"/>
      <protection locked="0"/>
    </xf>
    <xf numFmtId="0" fontId="73" fillId="7" borderId="23" xfId="0" applyFont="1" applyFill="1" applyBorder="1" applyAlignment="1">
      <alignment horizontal="center" vertical="center" wrapText="1"/>
    </xf>
    <xf numFmtId="0" fontId="16" fillId="0" borderId="23" xfId="0" applyFont="1" applyFill="1" applyBorder="1">
      <alignment vertical="center"/>
    </xf>
    <xf numFmtId="0" fontId="9" fillId="0" borderId="24" xfId="0" applyFont="1" applyFill="1" applyBorder="1">
      <alignment vertical="center"/>
    </xf>
    <xf numFmtId="0" fontId="27" fillId="0" borderId="63" xfId="0" applyFont="1" applyFill="1" applyBorder="1" applyAlignment="1">
      <alignment horizontal="left" vertical="center" wrapText="1"/>
    </xf>
    <xf numFmtId="0" fontId="9" fillId="0" borderId="64" xfId="0" applyFont="1" applyFill="1" applyBorder="1" applyAlignment="1">
      <alignment vertical="center" wrapText="1"/>
    </xf>
    <xf numFmtId="0" fontId="22" fillId="0" borderId="64" xfId="0" applyFont="1" applyFill="1" applyBorder="1" applyAlignment="1">
      <alignment horizontal="left" vertical="center"/>
    </xf>
    <xf numFmtId="0" fontId="9" fillId="0" borderId="64" xfId="0" applyFont="1" applyFill="1" applyBorder="1">
      <alignment vertical="center"/>
    </xf>
    <xf numFmtId="0" fontId="11" fillId="0" borderId="9" xfId="0" applyNumberFormat="1" applyFont="1" applyFill="1" applyBorder="1" applyAlignment="1">
      <alignment vertical="center" wrapText="1"/>
    </xf>
    <xf numFmtId="0" fontId="11" fillId="0" borderId="9" xfId="0" applyFont="1" applyFill="1" applyBorder="1" applyAlignment="1">
      <alignment horizontal="center" vertical="center"/>
    </xf>
    <xf numFmtId="0" fontId="11" fillId="0" borderId="9" xfId="0" applyFont="1" applyFill="1" applyBorder="1" applyAlignment="1">
      <alignment horizontal="center" vertical="center" wrapText="1"/>
    </xf>
    <xf numFmtId="0" fontId="27" fillId="0" borderId="64" xfId="0" applyFont="1" applyFill="1" applyBorder="1" applyAlignment="1">
      <alignment vertical="center" wrapText="1"/>
    </xf>
    <xf numFmtId="0" fontId="11" fillId="0" borderId="9" xfId="8" applyFont="1" applyFill="1" applyBorder="1" applyAlignment="1">
      <alignment horizontal="center" vertical="center"/>
    </xf>
    <xf numFmtId="0" fontId="16" fillId="0" borderId="9" xfId="0" applyFont="1" applyFill="1" applyBorder="1" applyAlignment="1">
      <alignment horizontal="left" vertical="center"/>
    </xf>
    <xf numFmtId="0" fontId="9" fillId="0" borderId="10" xfId="0" applyFont="1" applyFill="1" applyBorder="1" applyAlignment="1">
      <alignment horizontal="left" vertical="center"/>
    </xf>
    <xf numFmtId="0" fontId="16" fillId="19" borderId="9" xfId="0" applyFont="1" applyFill="1" applyBorder="1" applyAlignment="1">
      <alignment horizontal="left" vertical="center"/>
    </xf>
    <xf numFmtId="0" fontId="9" fillId="19" borderId="10" xfId="0" applyFont="1" applyFill="1" applyBorder="1" applyAlignment="1">
      <alignment horizontal="left" vertical="center"/>
    </xf>
    <xf numFmtId="0" fontId="11" fillId="0" borderId="6" xfId="0" applyFont="1" applyFill="1" applyBorder="1" applyAlignment="1">
      <alignment horizontal="center" vertical="center" wrapText="1"/>
    </xf>
    <xf numFmtId="0" fontId="27" fillId="4" borderId="63" xfId="0" applyFont="1" applyFill="1" applyBorder="1" applyAlignment="1">
      <alignment horizontal="left" vertical="center" wrapText="1"/>
    </xf>
    <xf numFmtId="0" fontId="9" fillId="4" borderId="64" xfId="0" applyFont="1" applyFill="1" applyBorder="1" applyAlignment="1">
      <alignment vertical="center" wrapText="1"/>
    </xf>
    <xf numFmtId="0" fontId="9" fillId="4" borderId="64" xfId="0" applyFont="1" applyFill="1" applyBorder="1">
      <alignment vertical="center"/>
    </xf>
    <xf numFmtId="0" fontId="74" fillId="4" borderId="49" xfId="0" applyFont="1" applyFill="1" applyBorder="1" applyAlignment="1">
      <alignment horizontal="left" vertical="center" wrapText="1"/>
    </xf>
    <xf numFmtId="0" fontId="74" fillId="4" borderId="59" xfId="0" applyFont="1" applyFill="1" applyBorder="1" applyAlignment="1">
      <alignment horizontal="left" vertical="center" wrapText="1"/>
    </xf>
    <xf numFmtId="0" fontId="11" fillId="0" borderId="9" xfId="0" applyFont="1" applyFill="1" applyBorder="1" applyAlignment="1" applyProtection="1">
      <alignment horizontal="center" vertical="center" wrapText="1"/>
    </xf>
    <xf numFmtId="0" fontId="11" fillId="0" borderId="9" xfId="0" applyFont="1" applyFill="1" applyBorder="1" applyAlignment="1">
      <alignment horizontal="left" vertical="center" wrapText="1"/>
    </xf>
    <xf numFmtId="0" fontId="16" fillId="3" borderId="9" xfId="0" applyFont="1" applyFill="1" applyBorder="1" applyAlignment="1">
      <alignment horizontal="center" vertical="center"/>
    </xf>
    <xf numFmtId="0" fontId="11" fillId="0" borderId="25" xfId="0" applyFont="1" applyFill="1" applyBorder="1" applyAlignment="1">
      <alignment horizontal="left" vertical="center"/>
    </xf>
    <xf numFmtId="0" fontId="11" fillId="0" borderId="27" xfId="0" applyFont="1" applyFill="1" applyBorder="1" applyAlignment="1">
      <alignment horizontal="left" vertical="center"/>
    </xf>
    <xf numFmtId="0" fontId="11" fillId="0" borderId="9" xfId="0" applyFont="1" applyFill="1" applyBorder="1" applyAlignment="1">
      <alignment vertical="center"/>
    </xf>
    <xf numFmtId="0" fontId="14" fillId="0" borderId="64" xfId="0" applyFont="1" applyFill="1" applyBorder="1" applyAlignment="1">
      <alignment horizontal="left" vertical="center" wrapText="1"/>
    </xf>
    <xf numFmtId="0" fontId="14" fillId="0" borderId="64" xfId="0" applyFont="1" applyFill="1" applyBorder="1" applyAlignment="1">
      <alignment horizontal="left" vertical="center"/>
    </xf>
    <xf numFmtId="0" fontId="16" fillId="4" borderId="63" xfId="0" applyFont="1" applyFill="1" applyBorder="1" applyAlignment="1">
      <alignment horizontal="left" vertical="center" wrapText="1"/>
    </xf>
    <xf numFmtId="0" fontId="16" fillId="4" borderId="64" xfId="0" applyFont="1" applyFill="1" applyBorder="1" applyAlignment="1">
      <alignment vertical="center" wrapText="1"/>
    </xf>
    <xf numFmtId="0" fontId="16" fillId="4" borderId="64" xfId="0" applyFont="1" applyFill="1" applyBorder="1" applyAlignment="1">
      <alignment horizontal="center" vertical="center"/>
    </xf>
    <xf numFmtId="0" fontId="10" fillId="6" borderId="34" xfId="0" applyFont="1" applyFill="1" applyBorder="1" applyAlignment="1">
      <alignment horizontal="center" vertical="center"/>
    </xf>
    <xf numFmtId="0" fontId="16" fillId="0" borderId="63" xfId="0" applyFont="1" applyFill="1" applyBorder="1" applyAlignment="1">
      <alignment horizontal="left" vertical="center" wrapText="1"/>
    </xf>
    <xf numFmtId="0" fontId="16" fillId="0" borderId="64" xfId="0" applyFont="1" applyFill="1" applyBorder="1" applyAlignment="1">
      <alignment vertical="center" wrapText="1"/>
    </xf>
    <xf numFmtId="0" fontId="16" fillId="0" borderId="64" xfId="0" applyFont="1" applyFill="1" applyBorder="1" applyAlignment="1">
      <alignment horizontal="left" vertical="center" wrapText="1"/>
    </xf>
    <xf numFmtId="0" fontId="16" fillId="0" borderId="71" xfId="0" applyFont="1" applyFill="1" applyBorder="1" applyAlignment="1">
      <alignment horizontal="center" vertical="center"/>
    </xf>
    <xf numFmtId="0" fontId="16" fillId="0" borderId="71" xfId="0" applyFont="1" applyBorder="1" applyAlignment="1">
      <alignment horizontal="center" vertical="center"/>
    </xf>
    <xf numFmtId="0" fontId="16" fillId="0" borderId="71" xfId="0" applyNumberFormat="1" applyFont="1" applyFill="1" applyBorder="1" applyAlignment="1">
      <alignment horizontal="center" vertical="center" wrapText="1"/>
    </xf>
    <xf numFmtId="0" fontId="16" fillId="0" borderId="72" xfId="0" applyFont="1" applyFill="1" applyBorder="1" applyAlignment="1">
      <alignment horizontal="center" vertical="center"/>
    </xf>
    <xf numFmtId="0" fontId="16" fillId="0" borderId="64" xfId="0" applyFont="1" applyFill="1" applyBorder="1" applyAlignment="1">
      <alignment horizontal="center" vertical="center"/>
    </xf>
    <xf numFmtId="0" fontId="16" fillId="0" borderId="0" xfId="0" applyFont="1" applyFill="1" applyBorder="1" applyAlignment="1">
      <alignment horizontal="center" vertical="center"/>
    </xf>
    <xf numFmtId="184" fontId="10" fillId="0" borderId="23" xfId="22" applyNumberFormat="1" applyFont="1" applyFill="1" applyBorder="1" applyAlignment="1">
      <alignment horizontal="center" vertical="center" wrapText="1"/>
    </xf>
    <xf numFmtId="184" fontId="10" fillId="0" borderId="24" xfId="22" applyNumberFormat="1" applyFont="1" applyFill="1" applyBorder="1" applyAlignment="1">
      <alignment horizontal="center" vertical="center" wrapText="1"/>
    </xf>
    <xf numFmtId="0" fontId="16" fillId="0" borderId="63" xfId="0" applyFont="1" applyFill="1" applyBorder="1" applyAlignment="1">
      <alignment horizontal="center" vertical="center"/>
    </xf>
    <xf numFmtId="0" fontId="16" fillId="7" borderId="64" xfId="0" applyFont="1" applyFill="1" applyBorder="1" applyAlignment="1">
      <alignment horizontal="center" vertical="center"/>
    </xf>
    <xf numFmtId="0" fontId="16" fillId="0" borderId="0" xfId="0" applyFont="1" applyFill="1" applyBorder="1" applyAlignment="1">
      <alignment horizontal="left" vertical="center" wrapText="1"/>
    </xf>
    <xf numFmtId="186" fontId="10" fillId="7" borderId="13" xfId="0" applyNumberFormat="1" applyFont="1" applyFill="1" applyBorder="1" applyAlignment="1">
      <alignment horizontal="center" vertical="center" wrapText="1"/>
    </xf>
    <xf numFmtId="187" fontId="10" fillId="7" borderId="13" xfId="0" applyNumberFormat="1" applyFont="1" applyFill="1" applyBorder="1" applyAlignment="1">
      <alignment horizontal="center" vertical="center" wrapText="1"/>
    </xf>
    <xf numFmtId="188" fontId="10" fillId="7" borderId="15" xfId="12" applyNumberFormat="1" applyFont="1" applyFill="1" applyBorder="1" applyAlignment="1">
      <alignment horizontal="center" vertical="center" wrapText="1"/>
    </xf>
    <xf numFmtId="0" fontId="16" fillId="7" borderId="64" xfId="0" applyFont="1" applyFill="1" applyBorder="1" applyAlignment="1">
      <alignment horizontal="left" vertical="center" wrapText="1"/>
    </xf>
    <xf numFmtId="0" fontId="16" fillId="0" borderId="73" xfId="0" applyFont="1" applyFill="1" applyBorder="1" applyAlignment="1">
      <alignment horizontal="center" vertical="center"/>
    </xf>
    <xf numFmtId="187" fontId="16" fillId="0" borderId="9" xfId="0" applyNumberFormat="1" applyFont="1" applyFill="1" applyBorder="1" applyAlignment="1">
      <alignment horizontal="center" vertical="center" wrapText="1"/>
    </xf>
    <xf numFmtId="43" fontId="16" fillId="0" borderId="9" xfId="21" applyFont="1" applyFill="1" applyBorder="1" applyAlignment="1">
      <alignment horizontal="center" vertical="center"/>
    </xf>
    <xf numFmtId="0" fontId="16" fillId="0" borderId="74" xfId="0" applyFont="1" applyFill="1" applyBorder="1" applyAlignment="1">
      <alignment horizontal="center" vertical="center"/>
    </xf>
    <xf numFmtId="0" fontId="16" fillId="0" borderId="66" xfId="0" applyFont="1" applyFill="1" applyBorder="1" applyAlignment="1">
      <alignment horizontal="center" vertical="center"/>
    </xf>
    <xf numFmtId="187" fontId="16" fillId="0" borderId="72" xfId="0" applyNumberFormat="1" applyFont="1" applyFill="1" applyBorder="1" applyAlignment="1">
      <alignment horizontal="center" vertical="center"/>
    </xf>
    <xf numFmtId="0" fontId="16" fillId="0" borderId="23" xfId="0" applyFont="1" applyFill="1" applyBorder="1" applyAlignment="1">
      <alignment horizontal="center" vertical="center"/>
    </xf>
    <xf numFmtId="9" fontId="16" fillId="0" borderId="24" xfId="0" applyNumberFormat="1" applyFont="1" applyFill="1" applyBorder="1" applyAlignment="1">
      <alignment horizontal="center" vertical="center"/>
    </xf>
    <xf numFmtId="9" fontId="16" fillId="0" borderId="63" xfId="0" applyNumberFormat="1" applyFont="1" applyFill="1" applyBorder="1" applyAlignment="1">
      <alignment horizontal="center" vertical="center"/>
    </xf>
    <xf numFmtId="0" fontId="16" fillId="0" borderId="64" xfId="0" applyFont="1" applyFill="1" applyBorder="1" applyAlignment="1">
      <alignment horizontal="left" vertical="center"/>
    </xf>
    <xf numFmtId="0" fontId="16" fillId="0" borderId="64" xfId="0" applyFont="1" applyBorder="1" applyAlignment="1">
      <alignment horizontal="center" vertical="center"/>
    </xf>
    <xf numFmtId="9" fontId="16" fillId="0" borderId="9" xfId="0" applyNumberFormat="1" applyFont="1" applyFill="1" applyBorder="1" applyAlignment="1">
      <alignment horizontal="center" vertical="center"/>
    </xf>
    <xf numFmtId="187" fontId="16" fillId="0" borderId="10" xfId="0" applyNumberFormat="1" applyFont="1" applyFill="1" applyBorder="1" applyAlignment="1">
      <alignment horizontal="center" vertical="center"/>
    </xf>
    <xf numFmtId="189" fontId="16" fillId="0" borderId="63" xfId="0" applyNumberFormat="1" applyFont="1" applyFill="1" applyBorder="1" applyAlignment="1">
      <alignment horizontal="center" vertical="center"/>
    </xf>
    <xf numFmtId="0" fontId="16" fillId="0" borderId="34" xfId="0" applyFont="1" applyFill="1" applyBorder="1" applyAlignment="1">
      <alignment horizontal="center" vertical="center" wrapText="1"/>
    </xf>
    <xf numFmtId="188" fontId="16" fillId="0" borderId="41" xfId="12" applyNumberFormat="1" applyFont="1" applyFill="1" applyBorder="1" applyAlignment="1">
      <alignment horizontal="center" vertical="center"/>
    </xf>
    <xf numFmtId="187" fontId="16" fillId="0" borderId="63" xfId="0" applyNumberFormat="1" applyFont="1" applyFill="1" applyBorder="1" applyAlignment="1">
      <alignment horizontal="center" vertical="center"/>
    </xf>
    <xf numFmtId="0" fontId="10" fillId="0" borderId="71" xfId="0" applyFont="1" applyFill="1" applyBorder="1" applyAlignment="1">
      <alignment horizontal="center" vertical="center"/>
    </xf>
    <xf numFmtId="0" fontId="16" fillId="0" borderId="71" xfId="0" applyFont="1" applyFill="1" applyBorder="1" applyAlignment="1">
      <alignment horizontal="center" vertical="center" wrapText="1"/>
    </xf>
    <xf numFmtId="187" fontId="16" fillId="0" borderId="71" xfId="0" applyNumberFormat="1" applyFont="1" applyFill="1" applyBorder="1" applyAlignment="1">
      <alignment horizontal="center" vertical="center"/>
    </xf>
    <xf numFmtId="187" fontId="16" fillId="0" borderId="66" xfId="0" applyNumberFormat="1" applyFont="1" applyFill="1" applyBorder="1" applyAlignment="1">
      <alignment horizontal="center" vertical="center"/>
    </xf>
    <xf numFmtId="0" fontId="16" fillId="0" borderId="23" xfId="0" applyFont="1" applyFill="1" applyBorder="1" applyAlignment="1">
      <alignment horizontal="center" vertical="center" wrapText="1"/>
    </xf>
    <xf numFmtId="1" fontId="16" fillId="0" borderId="23" xfId="0" applyNumberFormat="1" applyFont="1" applyFill="1" applyBorder="1" applyAlignment="1">
      <alignment horizontal="center" vertical="center"/>
    </xf>
    <xf numFmtId="188" fontId="16" fillId="0" borderId="34" xfId="12" applyNumberFormat="1" applyFont="1" applyFill="1" applyBorder="1" applyAlignment="1">
      <alignment horizontal="center" vertical="center"/>
    </xf>
    <xf numFmtId="187" fontId="16" fillId="0" borderId="64" xfId="0" applyNumberFormat="1" applyFont="1" applyFill="1" applyBorder="1" applyAlignment="1">
      <alignment horizontal="center" vertical="center"/>
    </xf>
    <xf numFmtId="188" fontId="16" fillId="0" borderId="9" xfId="12" applyNumberFormat="1" applyFont="1" applyFill="1" applyBorder="1" applyAlignment="1">
      <alignment horizontal="center" vertical="center"/>
    </xf>
    <xf numFmtId="190" fontId="16" fillId="0" borderId="64" xfId="0" applyNumberFormat="1" applyFont="1" applyFill="1" applyBorder="1" applyAlignment="1">
      <alignment horizontal="center" vertical="center"/>
    </xf>
    <xf numFmtId="0" fontId="16" fillId="0" borderId="34" xfId="0" applyFont="1" applyFill="1" applyBorder="1" applyAlignment="1">
      <alignment horizontal="center" vertical="center"/>
    </xf>
    <xf numFmtId="188" fontId="10" fillId="0" borderId="34" xfId="12" applyNumberFormat="1" applyFont="1" applyFill="1" applyBorder="1" applyAlignment="1">
      <alignment horizontal="center" vertical="center"/>
    </xf>
    <xf numFmtId="187" fontId="10" fillId="0" borderId="24" xfId="0" applyNumberFormat="1" applyFont="1" applyFill="1" applyBorder="1" applyAlignment="1">
      <alignment horizontal="center" vertical="center"/>
    </xf>
    <xf numFmtId="188" fontId="10" fillId="0" borderId="41" xfId="12" applyNumberFormat="1" applyFont="1" applyFill="1" applyBorder="1" applyAlignment="1">
      <alignment horizontal="center" vertical="center"/>
    </xf>
    <xf numFmtId="0" fontId="16" fillId="0" borderId="72" xfId="0" applyFont="1" applyBorder="1" applyAlignment="1">
      <alignment horizontal="center" vertical="center"/>
    </xf>
    <xf numFmtId="0" fontId="27" fillId="0" borderId="0" xfId="8" applyFont="1" applyAlignment="1">
      <alignment horizontal="center" vertical="center"/>
    </xf>
    <xf numFmtId="0" fontId="21" fillId="0" borderId="0" xfId="0" applyFont="1" applyAlignment="1" applyProtection="1">
      <alignment horizontal="center" vertical="center"/>
    </xf>
    <xf numFmtId="0" fontId="52" fillId="3" borderId="22" xfId="0" applyFont="1" applyFill="1" applyBorder="1" applyAlignment="1" applyProtection="1">
      <alignment horizontal="center" vertical="center"/>
    </xf>
    <xf numFmtId="0" fontId="52" fillId="3" borderId="23" xfId="0" applyFont="1" applyFill="1" applyBorder="1" applyAlignment="1" applyProtection="1">
      <alignment horizontal="center" vertical="center"/>
    </xf>
    <xf numFmtId="0" fontId="52" fillId="3" borderId="24" xfId="0" applyFont="1" applyFill="1" applyBorder="1" applyAlignment="1" applyProtection="1">
      <alignment horizontal="center" vertical="center"/>
    </xf>
    <xf numFmtId="0" fontId="68" fillId="0" borderId="8" xfId="0" applyFont="1" applyBorder="1" applyAlignment="1" applyProtection="1">
      <alignment horizontal="center" vertical="center"/>
    </xf>
    <xf numFmtId="0" fontId="21" fillId="0" borderId="9" xfId="0" applyFont="1" applyBorder="1" applyAlignment="1" applyProtection="1">
      <alignment horizontal="center" vertical="center"/>
    </xf>
    <xf numFmtId="0" fontId="55" fillId="13" borderId="9" xfId="0" applyFont="1" applyFill="1" applyBorder="1" applyAlignment="1" applyProtection="1">
      <alignment horizontal="center" vertical="center"/>
      <protection locked="0"/>
    </xf>
    <xf numFmtId="178" fontId="55" fillId="0" borderId="10" xfId="0" applyNumberFormat="1" applyFont="1" applyBorder="1" applyAlignment="1" applyProtection="1">
      <alignment horizontal="right" vertical="center"/>
    </xf>
    <xf numFmtId="0" fontId="68" fillId="0" borderId="0" xfId="0" applyFont="1" applyAlignment="1" applyProtection="1">
      <alignment horizontal="center" vertical="center"/>
    </xf>
    <xf numFmtId="0" fontId="68" fillId="0" borderId="8" xfId="0" applyFont="1" applyBorder="1" applyAlignment="1" applyProtection="1">
      <alignment horizontal="center" vertical="center" wrapText="1"/>
    </xf>
    <xf numFmtId="0" fontId="21" fillId="0" borderId="9" xfId="0" applyFont="1" applyBorder="1" applyAlignment="1" applyProtection="1">
      <alignment horizontal="center" vertical="center" wrapText="1"/>
    </xf>
    <xf numFmtId="0" fontId="68" fillId="0" borderId="0" xfId="0" applyFont="1" applyAlignment="1" applyProtection="1">
      <alignment vertical="center"/>
    </xf>
    <xf numFmtId="0" fontId="21" fillId="7" borderId="8" xfId="0" applyFont="1" applyFill="1" applyBorder="1" applyAlignment="1" applyProtection="1">
      <alignment horizontal="center" vertical="center" wrapText="1"/>
    </xf>
    <xf numFmtId="0" fontId="21" fillId="7" borderId="9" xfId="0" applyFont="1" applyFill="1" applyBorder="1" applyAlignment="1" applyProtection="1">
      <alignment horizontal="center" vertical="center"/>
    </xf>
    <xf numFmtId="0" fontId="78" fillId="7" borderId="9" xfId="0" applyFont="1" applyFill="1" applyBorder="1" applyAlignment="1" applyProtection="1">
      <alignment horizontal="center" vertical="center"/>
    </xf>
    <xf numFmtId="178" fontId="79" fillId="7" borderId="10" xfId="0" applyNumberFormat="1" applyFont="1" applyFill="1" applyBorder="1" applyAlignment="1" applyProtection="1">
      <alignment horizontal="right" vertical="center"/>
    </xf>
    <xf numFmtId="0" fontId="16" fillId="0" borderId="40" xfId="0" applyFont="1" applyFill="1" applyBorder="1" applyAlignment="1" applyProtection="1">
      <alignment vertical="top" wrapText="1"/>
    </xf>
    <xf numFmtId="0" fontId="86" fillId="6" borderId="8" xfId="0" applyFont="1" applyFill="1" applyBorder="1" applyAlignment="1">
      <alignment horizontal="center" vertical="center" wrapText="1"/>
    </xf>
    <xf numFmtId="0" fontId="86" fillId="6" borderId="9" xfId="0" applyFont="1" applyFill="1" applyBorder="1" applyAlignment="1">
      <alignment horizontal="center" vertical="center" wrapText="1"/>
    </xf>
    <xf numFmtId="0" fontId="81" fillId="19" borderId="9" xfId="0" applyFont="1" applyFill="1" applyBorder="1" applyAlignment="1">
      <alignment horizontal="center" vertical="center" wrapText="1"/>
    </xf>
    <xf numFmtId="0" fontId="86" fillId="6" borderId="10" xfId="0" applyFont="1" applyFill="1" applyBorder="1" applyAlignment="1">
      <alignment horizontal="center" vertical="center" wrapText="1"/>
    </xf>
    <xf numFmtId="191" fontId="75" fillId="16" borderId="9" xfId="0" applyNumberFormat="1" applyFont="1" applyFill="1" applyBorder="1" applyAlignment="1">
      <alignment horizontal="center" vertical="center" wrapText="1"/>
    </xf>
    <xf numFmtId="191" fontId="0" fillId="0" borderId="0" xfId="0" applyNumberFormat="1">
      <alignment vertical="center"/>
    </xf>
    <xf numFmtId="0" fontId="75" fillId="16" borderId="10" xfId="0" applyFont="1" applyFill="1" applyBorder="1">
      <alignment vertical="center"/>
    </xf>
    <xf numFmtId="0" fontId="75" fillId="16" borderId="40" xfId="0" applyFont="1" applyFill="1" applyBorder="1" applyAlignment="1">
      <alignment horizontal="center" vertical="center" wrapText="1"/>
    </xf>
    <xf numFmtId="0" fontId="75" fillId="16" borderId="34" xfId="0" applyFont="1" applyFill="1" applyBorder="1" applyAlignment="1">
      <alignment horizontal="center" vertical="center" wrapText="1"/>
    </xf>
    <xf numFmtId="191" fontId="75" fillId="16" borderId="34" xfId="0" applyNumberFormat="1" applyFont="1" applyFill="1" applyBorder="1" applyAlignment="1">
      <alignment horizontal="center" vertical="center" wrapText="1"/>
    </xf>
    <xf numFmtId="0" fontId="88" fillId="16" borderId="34" xfId="0" applyFont="1" applyFill="1" applyBorder="1">
      <alignment vertical="center"/>
    </xf>
    <xf numFmtId="0" fontId="89" fillId="16" borderId="41" xfId="0" applyFont="1" applyFill="1" applyBorder="1" applyAlignment="1">
      <alignment horizontal="left" vertical="center"/>
    </xf>
    <xf numFmtId="0" fontId="21" fillId="4" borderId="9" xfId="0" applyFont="1" applyFill="1" applyBorder="1" applyAlignment="1" applyProtection="1">
      <alignment horizontal="center" vertical="center" wrapText="1"/>
    </xf>
    <xf numFmtId="178" fontId="58" fillId="4" borderId="13" xfId="20" applyNumberFormat="1" applyFont="1" applyFill="1" applyBorder="1" applyAlignment="1">
      <alignment horizontal="center" vertical="center"/>
    </xf>
    <xf numFmtId="178" fontId="58" fillId="4" borderId="9" xfId="20" applyNumberFormat="1" applyFont="1" applyFill="1" applyBorder="1" applyAlignment="1">
      <alignment horizontal="center" vertical="center"/>
    </xf>
    <xf numFmtId="0" fontId="63" fillId="16" borderId="8" xfId="0" applyFont="1" applyFill="1" applyBorder="1" applyAlignment="1">
      <alignment horizontal="center" vertical="center" wrapText="1"/>
    </xf>
    <xf numFmtId="0" fontId="75" fillId="16" borderId="9" xfId="0" applyFont="1" applyFill="1" applyBorder="1" applyAlignment="1">
      <alignment horizontal="center" vertical="center" wrapText="1"/>
    </xf>
    <xf numFmtId="178" fontId="21" fillId="4" borderId="10" xfId="0" applyNumberFormat="1" applyFont="1" applyFill="1" applyBorder="1" applyAlignment="1" applyProtection="1">
      <alignment horizontal="right" vertical="center" wrapText="1"/>
    </xf>
    <xf numFmtId="0" fontId="86" fillId="23" borderId="9" xfId="0" applyFont="1" applyFill="1" applyBorder="1" applyAlignment="1">
      <alignment horizontal="center" vertical="center" wrapText="1"/>
    </xf>
    <xf numFmtId="0" fontId="75" fillId="23" borderId="9" xfId="0" applyFont="1" applyFill="1" applyBorder="1" applyAlignment="1">
      <alignment horizontal="center" vertical="center" wrapText="1"/>
    </xf>
    <xf numFmtId="192" fontId="75" fillId="23" borderId="9" xfId="0" applyNumberFormat="1" applyFont="1" applyFill="1" applyBorder="1" applyAlignment="1">
      <alignment horizontal="center" vertical="center" wrapText="1"/>
    </xf>
    <xf numFmtId="191" fontId="75" fillId="23" borderId="9" xfId="0" applyNumberFormat="1" applyFont="1" applyFill="1" applyBorder="1" applyAlignment="1">
      <alignment horizontal="center" vertical="center" wrapText="1"/>
    </xf>
    <xf numFmtId="0" fontId="75" fillId="23" borderId="34" xfId="0" applyFont="1" applyFill="1" applyBorder="1" applyAlignment="1">
      <alignment horizontal="center" vertical="center" wrapText="1"/>
    </xf>
    <xf numFmtId="0" fontId="80" fillId="0" borderId="0" xfId="23" applyFont="1">
      <alignment vertical="center"/>
    </xf>
    <xf numFmtId="0" fontId="67" fillId="0" borderId="13" xfId="24" applyFont="1" applyBorder="1" applyAlignment="1">
      <alignment horizontal="left" vertical="center" wrapText="1"/>
    </xf>
    <xf numFmtId="0" fontId="67" fillId="0" borderId="9" xfId="24" applyFont="1" applyBorder="1" applyAlignment="1">
      <alignment horizontal="left" vertical="center" wrapText="1"/>
    </xf>
    <xf numFmtId="0" fontId="67" fillId="0" borderId="9" xfId="24" applyFont="1" applyBorder="1" applyAlignment="1">
      <alignment horizontal="center" vertical="center" wrapText="1"/>
    </xf>
    <xf numFmtId="176" fontId="75" fillId="13" borderId="9" xfId="23" applyNumberFormat="1" applyFont="1" applyFill="1" applyBorder="1" applyAlignment="1" applyProtection="1">
      <alignment horizontal="center" vertical="center" wrapText="1"/>
      <protection locked="0"/>
    </xf>
    <xf numFmtId="178" fontId="82" fillId="3" borderId="9" xfId="24" applyNumberFormat="1" applyFont="1" applyFill="1" applyBorder="1" applyAlignment="1" applyProtection="1">
      <alignment horizontal="center" vertical="center" wrapText="1"/>
      <protection locked="0"/>
    </xf>
    <xf numFmtId="0" fontId="67" fillId="0" borderId="9" xfId="24" applyFont="1" applyBorder="1" applyAlignment="1">
      <alignment vertical="center" wrapText="1"/>
    </xf>
    <xf numFmtId="178" fontId="75" fillId="4" borderId="9" xfId="23" applyNumberFormat="1" applyFont="1" applyFill="1" applyBorder="1" applyAlignment="1" applyProtection="1">
      <alignment vertical="center" wrapText="1"/>
      <protection locked="0"/>
    </xf>
    <xf numFmtId="178" fontId="75" fillId="13" borderId="6" xfId="23" applyNumberFormat="1" applyFont="1" applyFill="1" applyBorder="1" applyAlignment="1" applyProtection="1">
      <alignment vertical="center" wrapText="1"/>
      <protection locked="0"/>
    </xf>
    <xf numFmtId="0" fontId="80" fillId="0" borderId="0" xfId="23" applyFont="1" applyBorder="1">
      <alignment vertical="center"/>
    </xf>
    <xf numFmtId="178" fontId="81" fillId="20" borderId="9" xfId="24" applyNumberFormat="1" applyFont="1" applyFill="1" applyBorder="1" applyAlignment="1" applyProtection="1">
      <alignment horizontal="center" vertical="center" wrapText="1"/>
      <protection locked="0"/>
    </xf>
    <xf numFmtId="0" fontId="67" fillId="20" borderId="9" xfId="24" applyFont="1" applyFill="1" applyBorder="1" applyAlignment="1">
      <alignment horizontal="left" vertical="center" wrapText="1"/>
    </xf>
    <xf numFmtId="0" fontId="67" fillId="20" borderId="9" xfId="24" applyFont="1" applyFill="1" applyBorder="1" applyAlignment="1">
      <alignment vertical="center" wrapText="1"/>
    </xf>
    <xf numFmtId="0" fontId="75" fillId="4" borderId="0" xfId="24" applyFont="1" applyFill="1" applyBorder="1" applyAlignment="1">
      <alignment horizontal="center" vertical="center" wrapText="1"/>
    </xf>
    <xf numFmtId="0" fontId="75" fillId="4" borderId="0" xfId="24" applyFont="1" applyFill="1" applyBorder="1" applyAlignment="1">
      <alignment vertical="center" wrapText="1"/>
    </xf>
    <xf numFmtId="178" fontId="75" fillId="4" borderId="0" xfId="23" applyNumberFormat="1" applyFont="1" applyFill="1" applyBorder="1" applyAlignment="1" applyProtection="1">
      <alignment horizontal="center" vertical="center" wrapText="1"/>
      <protection locked="0"/>
    </xf>
    <xf numFmtId="176" fontId="75" fillId="4" borderId="0" xfId="23" applyNumberFormat="1" applyFont="1" applyFill="1" applyBorder="1" applyAlignment="1" applyProtection="1">
      <alignment horizontal="center" vertical="center" wrapText="1"/>
      <protection locked="0"/>
    </xf>
    <xf numFmtId="178" fontId="82" fillId="4" borderId="0" xfId="24" applyNumberFormat="1" applyFont="1" applyFill="1" applyBorder="1" applyAlignment="1" applyProtection="1">
      <alignment horizontal="center" vertical="center" wrapText="1"/>
      <protection locked="0"/>
    </xf>
    <xf numFmtId="0" fontId="67" fillId="4" borderId="0" xfId="24" applyFont="1" applyFill="1" applyBorder="1" applyAlignment="1">
      <alignment horizontal="center" vertical="center" wrapText="1"/>
    </xf>
    <xf numFmtId="0" fontId="67" fillId="4" borderId="0" xfId="24" applyFont="1" applyFill="1" applyBorder="1" applyAlignment="1">
      <alignment horizontal="left" vertical="center"/>
    </xf>
    <xf numFmtId="0" fontId="91" fillId="0" borderId="0" xfId="23">
      <alignment vertical="center"/>
    </xf>
    <xf numFmtId="0" fontId="96" fillId="0" borderId="0" xfId="25" applyFont="1" applyAlignment="1" applyProtection="1">
      <alignment vertical="center"/>
      <protection locked="0"/>
    </xf>
    <xf numFmtId="0" fontId="96" fillId="0" borderId="0" xfId="25" applyFont="1" applyAlignment="1" applyProtection="1">
      <alignment horizontal="center" vertical="center"/>
      <protection locked="0"/>
    </xf>
    <xf numFmtId="176" fontId="96" fillId="0" borderId="0" xfId="25" applyNumberFormat="1" applyFont="1" applyAlignment="1" applyProtection="1">
      <alignment horizontal="center" vertical="center"/>
      <protection locked="0"/>
    </xf>
    <xf numFmtId="0" fontId="97" fillId="0" borderId="0" xfId="24" applyFont="1"/>
    <xf numFmtId="0" fontId="97" fillId="0" borderId="0" xfId="24" applyFont="1" applyAlignment="1">
      <alignment horizontal="left"/>
    </xf>
    <xf numFmtId="0" fontId="80" fillId="0" borderId="0" xfId="23" applyFont="1" applyAlignment="1">
      <alignment horizontal="center" vertical="center"/>
    </xf>
    <xf numFmtId="176" fontId="80" fillId="0" borderId="0" xfId="23" applyNumberFormat="1" applyFont="1" applyAlignment="1">
      <alignment horizontal="center" vertical="center"/>
    </xf>
    <xf numFmtId="0" fontId="64" fillId="0" borderId="0" xfId="23" applyFont="1" applyAlignment="1">
      <alignment horizontal="center" vertical="center"/>
    </xf>
    <xf numFmtId="0" fontId="52" fillId="0" borderId="0" xfId="24" applyFont="1" applyBorder="1" applyAlignment="1">
      <alignment horizontal="center" vertical="center"/>
    </xf>
    <xf numFmtId="0" fontId="67" fillId="0" borderId="0" xfId="24" applyFont="1" applyAlignment="1">
      <alignment horizontal="center" vertical="center"/>
    </xf>
    <xf numFmtId="0" fontId="64" fillId="0" borderId="0" xfId="23" applyFont="1" applyAlignment="1">
      <alignment vertical="center" wrapText="1"/>
    </xf>
    <xf numFmtId="0" fontId="64" fillId="0" borderId="0" xfId="23" applyFont="1">
      <alignment vertical="center"/>
    </xf>
    <xf numFmtId="0" fontId="75" fillId="6" borderId="9" xfId="24" applyFont="1" applyFill="1" applyBorder="1" applyAlignment="1">
      <alignment horizontal="center" vertical="center"/>
    </xf>
    <xf numFmtId="0" fontId="75" fillId="6" borderId="9" xfId="24" applyFont="1" applyFill="1" applyBorder="1" applyAlignment="1">
      <alignment horizontal="center" vertical="center" wrapText="1"/>
    </xf>
    <xf numFmtId="0" fontId="64" fillId="0" borderId="0" xfId="23" applyFont="1" applyBorder="1" applyAlignment="1">
      <alignment horizontal="center" vertical="center"/>
    </xf>
    <xf numFmtId="0" fontId="67" fillId="0" borderId="0" xfId="24" applyFont="1" applyBorder="1" applyAlignment="1">
      <alignment horizontal="center" vertical="center"/>
    </xf>
    <xf numFmtId="0" fontId="64" fillId="16" borderId="9" xfId="23" applyFont="1" applyFill="1" applyBorder="1" applyAlignment="1">
      <alignment horizontal="center" vertical="center"/>
    </xf>
    <xf numFmtId="0" fontId="98" fillId="0" borderId="9" xfId="23" applyFont="1" applyBorder="1" applyAlignment="1">
      <alignment horizontal="center" wrapText="1"/>
    </xf>
    <xf numFmtId="0" fontId="67" fillId="4" borderId="9" xfId="24" applyFont="1" applyFill="1" applyBorder="1" applyAlignment="1">
      <alignment horizontal="center" vertical="center"/>
    </xf>
    <xf numFmtId="0" fontId="64" fillId="0" borderId="9" xfId="23" applyFont="1" applyBorder="1" applyAlignment="1">
      <alignment horizontal="center" wrapText="1"/>
    </xf>
    <xf numFmtId="0" fontId="80" fillId="0" borderId="0" xfId="23" applyFont="1" applyAlignment="1">
      <alignment horizontal="left" vertical="center"/>
    </xf>
    <xf numFmtId="0" fontId="67" fillId="0" borderId="9" xfId="24" applyFont="1" applyBorder="1" applyAlignment="1">
      <alignment horizontal="center" vertical="center"/>
    </xf>
    <xf numFmtId="0" fontId="75" fillId="0" borderId="0" xfId="23" applyFont="1" applyBorder="1" applyAlignment="1">
      <alignment horizontal="left" vertical="center"/>
    </xf>
    <xf numFmtId="0" fontId="67" fillId="15" borderId="9" xfId="24" applyFont="1" applyFill="1" applyBorder="1" applyAlignment="1">
      <alignment horizontal="center" vertical="center" wrapText="1"/>
    </xf>
    <xf numFmtId="0" fontId="67" fillId="0" borderId="0" xfId="24" applyFont="1" applyBorder="1" applyAlignment="1">
      <alignment horizontal="center" vertical="center" wrapText="1"/>
    </xf>
    <xf numFmtId="0" fontId="75" fillId="0" borderId="0" xfId="23" applyFont="1" applyBorder="1" applyAlignment="1">
      <alignment horizontal="left" vertical="center" wrapText="1"/>
    </xf>
    <xf numFmtId="0" fontId="80" fillId="0" borderId="9" xfId="23" applyFont="1" applyBorder="1" applyAlignment="1">
      <alignment horizontal="center" vertical="center"/>
    </xf>
    <xf numFmtId="0" fontId="64" fillId="0" borderId="9" xfId="23" applyFont="1" applyBorder="1" applyAlignment="1">
      <alignment horizontal="center" vertical="center" wrapText="1"/>
    </xf>
    <xf numFmtId="184" fontId="75" fillId="13" borderId="9" xfId="23" applyNumberFormat="1" applyFont="1" applyFill="1" applyBorder="1" applyAlignment="1" applyProtection="1">
      <alignment horizontal="center" vertical="center" wrapText="1"/>
      <protection locked="0"/>
    </xf>
    <xf numFmtId="178" fontId="75" fillId="4" borderId="9" xfId="23" applyNumberFormat="1" applyFont="1" applyFill="1" applyBorder="1" applyAlignment="1" applyProtection="1">
      <alignment horizontal="center" vertical="center" wrapText="1"/>
      <protection locked="0"/>
    </xf>
    <xf numFmtId="185" fontId="75" fillId="4" borderId="9" xfId="23" quotePrefix="1" applyNumberFormat="1" applyFont="1" applyFill="1" applyBorder="1" applyAlignment="1">
      <alignment horizontal="center" vertical="center"/>
    </xf>
    <xf numFmtId="0" fontId="99" fillId="0" borderId="9" xfId="23" applyFont="1" applyBorder="1" applyAlignment="1">
      <alignment horizontal="center" vertical="center" wrapText="1"/>
    </xf>
    <xf numFmtId="0" fontId="64" fillId="0" borderId="13" xfId="23" applyFont="1" applyBorder="1" applyAlignment="1">
      <alignment horizontal="center" vertical="center" wrapText="1"/>
    </xf>
    <xf numFmtId="185" fontId="75" fillId="4" borderId="13" xfId="23" quotePrefix="1" applyNumberFormat="1" applyFont="1" applyFill="1" applyBorder="1" applyAlignment="1">
      <alignment horizontal="center" vertical="center"/>
    </xf>
    <xf numFmtId="0" fontId="99" fillId="0" borderId="9" xfId="23" applyFont="1" applyBorder="1" applyAlignment="1">
      <alignment horizontal="justify" vertical="center" wrapText="1"/>
    </xf>
    <xf numFmtId="0" fontId="67" fillId="4" borderId="9" xfId="24" applyFont="1" applyFill="1" applyBorder="1" applyAlignment="1">
      <alignment horizontal="center"/>
    </xf>
    <xf numFmtId="185" fontId="75" fillId="4" borderId="9" xfId="24" applyNumberFormat="1" applyFont="1" applyFill="1" applyBorder="1" applyAlignment="1">
      <alignment horizontal="center" vertical="center"/>
    </xf>
    <xf numFmtId="183" fontId="81" fillId="3" borderId="9" xfId="23" applyNumberFormat="1" applyFont="1" applyFill="1" applyBorder="1" applyAlignment="1">
      <alignment horizontal="center" vertical="center"/>
    </xf>
    <xf numFmtId="0" fontId="80" fillId="0" borderId="9" xfId="23" applyFont="1" applyBorder="1">
      <alignment vertical="center"/>
    </xf>
    <xf numFmtId="0" fontId="67" fillId="0" borderId="9" xfId="23" applyNumberFormat="1" applyFont="1" applyFill="1" applyBorder="1" applyAlignment="1">
      <alignment horizontal="center" vertical="center"/>
    </xf>
    <xf numFmtId="0" fontId="64" fillId="0" borderId="9" xfId="23" applyFont="1" applyBorder="1" applyAlignment="1">
      <alignment horizontal="center" vertical="center"/>
    </xf>
    <xf numFmtId="0" fontId="75" fillId="0" borderId="9" xfId="23" applyNumberFormat="1" applyFont="1" applyFill="1" applyBorder="1" applyAlignment="1">
      <alignment horizontal="center" vertical="center"/>
    </xf>
    <xf numFmtId="0" fontId="67" fillId="4" borderId="6" xfId="24" applyFont="1" applyFill="1" applyBorder="1" applyAlignment="1">
      <alignment horizontal="center" vertical="center"/>
    </xf>
    <xf numFmtId="0" fontId="67" fillId="4" borderId="9" xfId="23" applyFont="1" applyFill="1" applyBorder="1" applyAlignment="1">
      <alignment horizontal="center" vertical="center" wrapText="1" readingOrder="1"/>
    </xf>
    <xf numFmtId="0" fontId="67" fillId="4" borderId="9" xfId="23" applyFont="1" applyFill="1" applyBorder="1" applyAlignment="1">
      <alignment horizontal="left" vertical="center" wrapText="1" readingOrder="1"/>
    </xf>
    <xf numFmtId="183" fontId="100" fillId="0" borderId="9" xfId="23" applyNumberFormat="1" applyFont="1" applyBorder="1" applyAlignment="1">
      <alignment horizontal="center" vertical="center"/>
    </xf>
    <xf numFmtId="0" fontId="67" fillId="4" borderId="9" xfId="24" applyFont="1" applyFill="1" applyBorder="1" applyAlignment="1">
      <alignment horizontal="center" vertical="center" wrapText="1"/>
    </xf>
    <xf numFmtId="0" fontId="67" fillId="4" borderId="9" xfId="24" applyFont="1" applyFill="1" applyBorder="1" applyAlignment="1">
      <alignment horizontal="left" vertical="center" wrapText="1"/>
    </xf>
    <xf numFmtId="0" fontId="67" fillId="4" borderId="9" xfId="23" applyFont="1" applyFill="1" applyBorder="1" applyAlignment="1" applyProtection="1">
      <alignment horizontal="left" vertical="center" wrapText="1"/>
    </xf>
    <xf numFmtId="0" fontId="64" fillId="4" borderId="9" xfId="23" applyFont="1" applyFill="1" applyBorder="1" applyAlignment="1" applyProtection="1">
      <alignment horizontal="left" vertical="center"/>
    </xf>
    <xf numFmtId="0" fontId="101" fillId="0" borderId="9" xfId="23" applyFont="1" applyBorder="1" applyAlignment="1" applyProtection="1">
      <alignment horizontal="left" vertical="center"/>
    </xf>
    <xf numFmtId="0" fontId="64" fillId="0" borderId="9" xfId="23" applyFont="1" applyBorder="1" applyAlignment="1">
      <alignment horizontal="left" vertical="center" wrapText="1"/>
    </xf>
    <xf numFmtId="0" fontId="64" fillId="4" borderId="9" xfId="23" applyFont="1" applyFill="1" applyBorder="1" applyAlignment="1">
      <alignment horizontal="center" vertical="center" wrapText="1"/>
    </xf>
    <xf numFmtId="0" fontId="64" fillId="4" borderId="9" xfId="23" applyFont="1" applyFill="1" applyBorder="1" applyAlignment="1">
      <alignment horizontal="left" vertical="center" wrapText="1"/>
    </xf>
    <xf numFmtId="0" fontId="91" fillId="0" borderId="9" xfId="23" applyBorder="1" applyAlignment="1">
      <alignment horizontal="center" vertical="center"/>
    </xf>
    <xf numFmtId="0" fontId="64" fillId="0" borderId="9" xfId="23" applyFont="1" applyBorder="1" applyAlignment="1" applyProtection="1">
      <alignment horizontal="left" vertical="center"/>
    </xf>
    <xf numFmtId="0" fontId="64" fillId="0" borderId="9" xfId="23" applyFont="1" applyBorder="1" applyAlignment="1">
      <alignment vertical="center" wrapText="1" readingOrder="1"/>
    </xf>
    <xf numFmtId="0" fontId="67" fillId="4" borderId="9" xfId="23" applyFont="1" applyFill="1" applyBorder="1" applyAlignment="1">
      <alignment horizontal="center" vertical="center" wrapText="1"/>
    </xf>
    <xf numFmtId="0" fontId="64" fillId="0" borderId="9" xfId="23" applyFont="1" applyBorder="1" applyAlignment="1" applyProtection="1">
      <alignment horizontal="left" vertical="center" wrapText="1"/>
    </xf>
    <xf numFmtId="0" fontId="99" fillId="0" borderId="9" xfId="23" applyFont="1" applyBorder="1" applyAlignment="1">
      <alignment horizontal="left" vertical="center" wrapText="1"/>
    </xf>
    <xf numFmtId="178" fontId="88" fillId="4" borderId="9" xfId="23" applyNumberFormat="1" applyFont="1" applyFill="1" applyBorder="1" applyAlignment="1" applyProtection="1">
      <alignment horizontal="center" vertical="center" wrapText="1"/>
      <protection locked="0"/>
    </xf>
    <xf numFmtId="0" fontId="77" fillId="4" borderId="9" xfId="23" applyFont="1" applyFill="1" applyBorder="1" applyAlignment="1">
      <alignment horizontal="left" vertical="center" wrapText="1"/>
    </xf>
    <xf numFmtId="0" fontId="16" fillId="4" borderId="40" xfId="0" applyFont="1" applyFill="1" applyBorder="1" applyAlignment="1" applyProtection="1">
      <alignment horizontal="left" vertical="top" wrapText="1"/>
    </xf>
    <xf numFmtId="0" fontId="16" fillId="4" borderId="34" xfId="0" applyFont="1" applyFill="1" applyBorder="1" applyAlignment="1" applyProtection="1">
      <alignment horizontal="left" vertical="top" wrapText="1"/>
    </xf>
    <xf numFmtId="0" fontId="16" fillId="4" borderId="41" xfId="0" applyFont="1" applyFill="1" applyBorder="1" applyAlignment="1" applyProtection="1">
      <alignment horizontal="left" vertical="top" wrapText="1"/>
    </xf>
    <xf numFmtId="0" fontId="64" fillId="4" borderId="8" xfId="0" applyFont="1" applyFill="1" applyBorder="1" applyAlignment="1">
      <alignment horizontal="left" vertical="center"/>
    </xf>
    <xf numFmtId="0" fontId="64" fillId="4" borderId="9" xfId="0" applyFont="1" applyFill="1" applyBorder="1" applyAlignment="1">
      <alignment horizontal="left" vertical="center"/>
    </xf>
    <xf numFmtId="0" fontId="63" fillId="4" borderId="8" xfId="0" applyFont="1" applyFill="1" applyBorder="1" applyAlignment="1" applyProtection="1">
      <alignment vertical="center" wrapText="1"/>
    </xf>
    <xf numFmtId="0" fontId="63" fillId="4" borderId="9" xfId="0" applyFont="1" applyFill="1" applyBorder="1" applyAlignment="1" applyProtection="1">
      <alignment vertical="center" wrapText="1"/>
    </xf>
    <xf numFmtId="0" fontId="67" fillId="4" borderId="8" xfId="0" applyFont="1" applyFill="1" applyBorder="1" applyAlignment="1" applyProtection="1">
      <alignment horizontal="left" vertical="center" wrapText="1"/>
    </xf>
    <xf numFmtId="0" fontId="67" fillId="4" borderId="9" xfId="0" applyFont="1" applyFill="1" applyBorder="1" applyAlignment="1" applyProtection="1">
      <alignment horizontal="left" vertical="center" wrapText="1"/>
    </xf>
    <xf numFmtId="0" fontId="21" fillId="4" borderId="8" xfId="0" applyFont="1" applyFill="1" applyBorder="1" applyAlignment="1" applyProtection="1">
      <alignment horizontal="center" vertical="center" wrapText="1"/>
    </xf>
    <xf numFmtId="0" fontId="21" fillId="4" borderId="9" xfId="0" applyFont="1" applyFill="1" applyBorder="1" applyAlignment="1" applyProtection="1">
      <alignment horizontal="center" vertical="center" wrapText="1"/>
    </xf>
    <xf numFmtId="0" fontId="67" fillId="4" borderId="18" xfId="0" applyFont="1" applyFill="1" applyBorder="1" applyAlignment="1" applyProtection="1">
      <alignment horizontal="left" vertical="center" wrapText="1"/>
    </xf>
    <xf numFmtId="0" fontId="67" fillId="4" borderId="27" xfId="0" applyFont="1" applyFill="1" applyBorder="1" applyAlignment="1" applyProtection="1">
      <alignment horizontal="left" vertical="center" wrapText="1"/>
    </xf>
    <xf numFmtId="0" fontId="63" fillId="4" borderId="8" xfId="0" applyFont="1" applyFill="1" applyBorder="1" applyAlignment="1" applyProtection="1">
      <alignment horizontal="left" vertical="center" wrapText="1"/>
    </xf>
    <xf numFmtId="0" fontId="63" fillId="4" borderId="9" xfId="0" applyFont="1" applyFill="1" applyBorder="1" applyAlignment="1" applyProtection="1">
      <alignment horizontal="left" vertical="center" wrapText="1"/>
    </xf>
    <xf numFmtId="0" fontId="62" fillId="4" borderId="0" xfId="11" applyFont="1" applyFill="1" applyBorder="1" applyAlignment="1" applyProtection="1">
      <alignment horizontal="left" vertical="center"/>
    </xf>
    <xf numFmtId="0" fontId="49" fillId="4" borderId="0" xfId="0" applyFont="1" applyFill="1" applyBorder="1" applyAlignment="1" applyProtection="1">
      <alignment horizontal="center" vertical="center" wrapText="1"/>
    </xf>
    <xf numFmtId="0" fontId="52" fillId="3" borderId="22" xfId="2" applyFont="1" applyFill="1" applyBorder="1" applyAlignment="1" applyProtection="1">
      <alignment horizontal="center" vertical="center"/>
    </xf>
    <xf numFmtId="0" fontId="52" fillId="3" borderId="23" xfId="2" applyFont="1" applyFill="1" applyBorder="1" applyAlignment="1" applyProtection="1">
      <alignment horizontal="center" vertical="center"/>
    </xf>
    <xf numFmtId="0" fontId="20" fillId="4" borderId="10" xfId="0" applyFont="1" applyFill="1" applyBorder="1" applyAlignment="1">
      <alignment horizontal="left" vertical="center" wrapText="1"/>
    </xf>
    <xf numFmtId="0" fontId="20" fillId="4" borderId="10" xfId="0" applyFont="1" applyFill="1" applyBorder="1" applyAlignment="1">
      <alignment horizontal="center" vertical="center" wrapText="1"/>
    </xf>
    <xf numFmtId="0" fontId="24" fillId="4" borderId="10" xfId="3" applyFont="1" applyFill="1" applyBorder="1" applyAlignment="1">
      <alignment horizontal="left" vertical="center" wrapText="1"/>
    </xf>
    <xf numFmtId="0" fontId="24" fillId="4" borderId="10" xfId="0" applyFont="1" applyFill="1" applyBorder="1" applyAlignment="1">
      <alignment horizontal="left" vertical="center" wrapText="1"/>
    </xf>
    <xf numFmtId="0" fontId="17" fillId="4" borderId="10" xfId="3" applyFont="1" applyFill="1" applyBorder="1" applyAlignment="1">
      <alignment horizontal="left" vertical="center" wrapText="1"/>
    </xf>
    <xf numFmtId="0" fontId="17" fillId="4" borderId="41" xfId="3" applyFont="1" applyFill="1" applyBorder="1" applyAlignment="1">
      <alignment horizontal="left" vertical="center" wrapText="1"/>
    </xf>
    <xf numFmtId="0" fontId="4" fillId="0" borderId="3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5" xfId="0" applyFont="1" applyBorder="1" applyAlignment="1">
      <alignment horizontal="center" vertical="center" wrapText="1"/>
    </xf>
    <xf numFmtId="0" fontId="20" fillId="0" borderId="10" xfId="0" applyFont="1" applyFill="1" applyBorder="1" applyAlignment="1">
      <alignment horizontal="left" vertical="center" wrapText="1"/>
    </xf>
    <xf numFmtId="0" fontId="0" fillId="0" borderId="10" xfId="0" applyBorder="1">
      <alignment vertical="center"/>
    </xf>
    <xf numFmtId="177" fontId="20" fillId="4" borderId="10" xfId="0" applyNumberFormat="1" applyFont="1" applyFill="1" applyBorder="1" applyAlignment="1">
      <alignment horizontal="left" vertical="center" wrapText="1"/>
    </xf>
    <xf numFmtId="0" fontId="17" fillId="4" borderId="10" xfId="0" applyFont="1" applyFill="1" applyBorder="1" applyAlignment="1">
      <alignment horizontal="left" vertical="center" wrapText="1"/>
    </xf>
    <xf numFmtId="0" fontId="11" fillId="4" borderId="10" xfId="0" applyFont="1" applyFill="1" applyBorder="1" applyAlignment="1" applyProtection="1">
      <alignment horizontal="left" vertical="center" wrapText="1"/>
    </xf>
    <xf numFmtId="0" fontId="0" fillId="4" borderId="10" xfId="0" applyFill="1" applyBorder="1" applyAlignment="1">
      <alignment horizontal="left" vertical="center" wrapText="1"/>
    </xf>
    <xf numFmtId="0" fontId="17" fillId="4" borderId="10" xfId="0" applyFont="1" applyFill="1" applyBorder="1" applyAlignment="1">
      <alignment horizontal="center" vertical="center" wrapText="1"/>
    </xf>
    <xf numFmtId="0" fontId="20" fillId="4" borderId="24" xfId="0" applyFont="1" applyFill="1" applyBorder="1" applyAlignment="1">
      <alignment horizontal="left" vertical="center" wrapText="1"/>
    </xf>
    <xf numFmtId="0" fontId="19" fillId="4" borderId="9"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176" fontId="19" fillId="5" borderId="9" xfId="0" applyNumberFormat="1" applyFont="1" applyFill="1" applyBorder="1" applyAlignment="1" applyProtection="1">
      <alignment horizontal="center" vertical="center"/>
      <protection locked="0"/>
    </xf>
    <xf numFmtId="177" fontId="19" fillId="4" borderId="9" xfId="0" applyNumberFormat="1" applyFont="1" applyFill="1" applyBorder="1" applyAlignment="1">
      <alignment horizontal="center" vertical="center"/>
    </xf>
    <xf numFmtId="176" fontId="19" fillId="5" borderId="9" xfId="0" applyNumberFormat="1" applyFont="1" applyFill="1" applyBorder="1" applyAlignment="1">
      <alignment horizontal="center" vertical="center"/>
    </xf>
    <xf numFmtId="0" fontId="20" fillId="4" borderId="9"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0" fillId="4" borderId="9" xfId="0" applyFont="1" applyFill="1" applyBorder="1" applyAlignment="1" applyProtection="1">
      <alignment vertical="center" wrapText="1"/>
    </xf>
    <xf numFmtId="0" fontId="24" fillId="4" borderId="9" xfId="0" applyFont="1" applyFill="1" applyBorder="1" applyAlignment="1">
      <alignment horizontal="left" vertical="center"/>
    </xf>
    <xf numFmtId="0" fontId="33" fillId="4" borderId="9" xfId="0" applyFont="1" applyFill="1" applyBorder="1" applyAlignment="1">
      <alignment horizontal="center" vertical="center"/>
    </xf>
    <xf numFmtId="178" fontId="19" fillId="4" borderId="9" xfId="0" applyNumberFormat="1" applyFont="1" applyFill="1" applyBorder="1" applyAlignment="1">
      <alignment horizontal="center" vertical="center"/>
    </xf>
    <xf numFmtId="178" fontId="19" fillId="4" borderId="9" xfId="0" applyNumberFormat="1" applyFont="1" applyFill="1" applyBorder="1" applyAlignment="1">
      <alignment horizontal="center" vertical="center" wrapText="1"/>
    </xf>
    <xf numFmtId="178" fontId="20" fillId="4" borderId="9" xfId="0" applyNumberFormat="1" applyFont="1" applyFill="1" applyBorder="1" applyAlignment="1">
      <alignment horizontal="center" vertical="center" wrapText="1"/>
    </xf>
    <xf numFmtId="0" fontId="19" fillId="4" borderId="8" xfId="0" applyFont="1" applyFill="1" applyBorder="1" applyAlignment="1">
      <alignment horizontal="left" vertical="center"/>
    </xf>
    <xf numFmtId="179" fontId="19" fillId="4" borderId="9" xfId="0" applyNumberFormat="1" applyFont="1" applyFill="1" applyBorder="1" applyAlignment="1">
      <alignment horizontal="center" vertical="center"/>
    </xf>
    <xf numFmtId="0" fontId="19" fillId="4" borderId="9" xfId="0" applyFont="1" applyFill="1" applyBorder="1" applyAlignment="1">
      <alignment horizontal="center" vertical="center" wrapText="1"/>
    </xf>
    <xf numFmtId="0" fontId="19" fillId="4" borderId="8" xfId="0" applyFont="1" applyFill="1" applyBorder="1" applyAlignment="1" applyProtection="1">
      <alignment horizontal="left" vertical="center" wrapText="1"/>
    </xf>
    <xf numFmtId="0" fontId="19" fillId="4" borderId="40" xfId="0" applyFont="1" applyFill="1" applyBorder="1" applyAlignment="1" applyProtection="1">
      <alignment horizontal="left" vertical="center" wrapText="1"/>
    </xf>
    <xf numFmtId="176" fontId="12" fillId="4" borderId="25" xfId="0" applyNumberFormat="1" applyFont="1" applyFill="1" applyBorder="1" applyAlignment="1" applyProtection="1">
      <alignment horizontal="left" vertical="center" wrapText="1"/>
    </xf>
    <xf numFmtId="0" fontId="19" fillId="4" borderId="8" xfId="0" applyFont="1" applyFill="1" applyBorder="1" applyAlignment="1">
      <alignment horizontal="left" vertical="center" wrapText="1"/>
    </xf>
    <xf numFmtId="0" fontId="19" fillId="4" borderId="11" xfId="0" applyFont="1" applyFill="1" applyBorder="1" applyAlignment="1" applyProtection="1">
      <alignment horizontal="center" vertical="center" wrapText="1"/>
    </xf>
    <xf numFmtId="0" fontId="19" fillId="4" borderId="12" xfId="0" applyFont="1" applyFill="1" applyBorder="1" applyAlignment="1" applyProtection="1">
      <alignment horizontal="center" vertical="center" wrapText="1"/>
    </xf>
    <xf numFmtId="0" fontId="19" fillId="4" borderId="5" xfId="0" applyFont="1" applyFill="1" applyBorder="1" applyAlignment="1" applyProtection="1">
      <alignment horizontal="center" vertical="center" wrapText="1"/>
    </xf>
    <xf numFmtId="179" fontId="25" fillId="0" borderId="23" xfId="0" applyNumberFormat="1" applyFont="1" applyBorder="1" applyAlignment="1">
      <alignment horizontal="center" vertical="center" wrapText="1"/>
    </xf>
    <xf numFmtId="179" fontId="25" fillId="0" borderId="9" xfId="0" applyNumberFormat="1" applyFont="1" applyBorder="1" applyAlignment="1">
      <alignment horizontal="center" vertical="center" wrapText="1"/>
    </xf>
    <xf numFmtId="0" fontId="11" fillId="4" borderId="23"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0" fillId="4" borderId="8" xfId="0" applyNumberFormat="1" applyFont="1" applyFill="1" applyBorder="1" applyAlignment="1">
      <alignment horizontal="left" vertical="center"/>
    </xf>
    <xf numFmtId="0" fontId="19" fillId="4" borderId="22" xfId="0" applyFont="1" applyFill="1" applyBorder="1" applyAlignment="1">
      <alignment horizontal="left" vertical="center" wrapText="1"/>
    </xf>
    <xf numFmtId="0" fontId="19" fillId="4" borderId="23" xfId="0" applyFont="1" applyFill="1" applyBorder="1" applyAlignment="1">
      <alignment horizontal="left" vertical="center"/>
    </xf>
    <xf numFmtId="0" fontId="19" fillId="4" borderId="9" xfId="0" applyFont="1" applyFill="1" applyBorder="1" applyAlignment="1">
      <alignment horizontal="left" vertical="center"/>
    </xf>
    <xf numFmtId="0" fontId="20" fillId="4" borderId="23" xfId="0" applyFont="1" applyFill="1" applyBorder="1" applyAlignment="1">
      <alignment horizontal="left" vertical="center"/>
    </xf>
    <xf numFmtId="0" fontId="20" fillId="4" borderId="9" xfId="0" applyFont="1" applyFill="1" applyBorder="1" applyAlignment="1">
      <alignment horizontal="left" vertical="center"/>
    </xf>
    <xf numFmtId="178" fontId="19" fillId="4" borderId="23" xfId="0" applyNumberFormat="1" applyFont="1" applyFill="1" applyBorder="1" applyAlignment="1">
      <alignment horizontal="center" vertical="center"/>
    </xf>
    <xf numFmtId="0" fontId="19" fillId="5" borderId="23" xfId="0" applyFont="1" applyFill="1" applyBorder="1" applyAlignment="1" applyProtection="1">
      <alignment horizontal="center" vertical="center"/>
      <protection locked="0"/>
    </xf>
    <xf numFmtId="0" fontId="19" fillId="5" borderId="9" xfId="0" applyFont="1" applyFill="1" applyBorder="1" applyAlignment="1" applyProtection="1">
      <alignment horizontal="center" vertical="center"/>
      <protection locked="0"/>
    </xf>
    <xf numFmtId="177" fontId="19" fillId="4" borderId="23" xfId="0" applyNumberFormat="1" applyFont="1" applyFill="1" applyBorder="1" applyAlignment="1">
      <alignment horizontal="center" vertical="center"/>
    </xf>
    <xf numFmtId="176" fontId="19" fillId="4" borderId="23" xfId="0" applyNumberFormat="1" applyFont="1" applyFill="1" applyBorder="1" applyAlignment="1">
      <alignment horizontal="center" vertical="center"/>
    </xf>
    <xf numFmtId="176" fontId="19" fillId="4" borderId="9" xfId="0" applyNumberFormat="1" applyFont="1" applyFill="1" applyBorder="1" applyAlignment="1">
      <alignment horizontal="center" vertical="center"/>
    </xf>
    <xf numFmtId="0" fontId="19" fillId="4" borderId="23"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0" fillId="0" borderId="8" xfId="0" applyBorder="1" applyAlignment="1">
      <alignment horizontal="left" vertical="center"/>
    </xf>
    <xf numFmtId="0" fontId="0" fillId="0" borderId="9" xfId="0" applyBorder="1">
      <alignment vertical="center"/>
    </xf>
    <xf numFmtId="176" fontId="19" fillId="5" borderId="9" xfId="0" applyNumberFormat="1" applyFont="1" applyFill="1" applyBorder="1" applyAlignment="1" applyProtection="1">
      <alignment horizontal="center" vertical="center" wrapText="1"/>
      <protection locked="0"/>
    </xf>
    <xf numFmtId="0" fontId="16" fillId="4" borderId="9" xfId="3" applyFont="1" applyFill="1" applyBorder="1" applyAlignment="1">
      <alignment horizontal="left" vertical="center" wrapText="1"/>
    </xf>
    <xf numFmtId="0" fontId="56" fillId="0" borderId="9" xfId="0" applyFont="1" applyBorder="1">
      <alignment vertical="center"/>
    </xf>
    <xf numFmtId="0" fontId="16" fillId="4" borderId="9" xfId="3" applyFont="1" applyFill="1" applyBorder="1" applyAlignment="1">
      <alignment horizontal="center" vertical="center" wrapText="1"/>
    </xf>
    <xf numFmtId="0" fontId="19" fillId="4" borderId="9" xfId="0" applyFont="1" applyFill="1" applyBorder="1" applyAlignment="1">
      <alignment horizontal="left" vertical="center" wrapText="1"/>
    </xf>
    <xf numFmtId="0" fontId="19" fillId="0" borderId="9" xfId="0" applyFont="1" applyFill="1" applyBorder="1" applyAlignment="1">
      <alignment horizontal="center" vertical="center" wrapText="1"/>
    </xf>
    <xf numFmtId="178" fontId="26" fillId="4" borderId="9" xfId="0" applyNumberFormat="1" applyFont="1" applyFill="1" applyBorder="1" applyAlignment="1">
      <alignment horizontal="center" vertical="center" wrapText="1"/>
    </xf>
    <xf numFmtId="177" fontId="25" fillId="4" borderId="9" xfId="0" applyNumberFormat="1" applyFont="1" applyFill="1" applyBorder="1" applyAlignment="1" applyProtection="1">
      <alignment horizontal="center" vertical="center"/>
      <protection locked="0"/>
    </xf>
    <xf numFmtId="176" fontId="25" fillId="5" borderId="9" xfId="0" applyNumberFormat="1" applyFont="1" applyFill="1" applyBorder="1" applyAlignment="1" applyProtection="1">
      <alignment horizontal="center" vertical="center"/>
      <protection locked="0"/>
    </xf>
    <xf numFmtId="176" fontId="19" fillId="4" borderId="9" xfId="0" applyNumberFormat="1" applyFont="1" applyFill="1" applyBorder="1" applyAlignment="1" applyProtection="1">
      <alignment horizontal="center" vertical="center" wrapText="1"/>
      <protection locked="0"/>
    </xf>
    <xf numFmtId="176" fontId="20" fillId="4" borderId="9" xfId="0" applyNumberFormat="1" applyFont="1" applyFill="1" applyBorder="1" applyAlignment="1" applyProtection="1">
      <alignment horizontal="center" vertical="center" wrapText="1"/>
      <protection locked="0"/>
    </xf>
    <xf numFmtId="178" fontId="19" fillId="0" borderId="9" xfId="0" applyNumberFormat="1" applyFont="1" applyFill="1" applyBorder="1" applyAlignment="1">
      <alignment horizontal="center" vertical="center"/>
    </xf>
    <xf numFmtId="0" fontId="17" fillId="4" borderId="9" xfId="0" applyFont="1" applyFill="1" applyBorder="1" applyAlignment="1">
      <alignment horizontal="center" vertical="center" wrapText="1"/>
    </xf>
    <xf numFmtId="0" fontId="33" fillId="4" borderId="9" xfId="0" applyFont="1" applyFill="1" applyBorder="1" applyAlignment="1" applyProtection="1">
      <alignment horizontal="center" vertical="center" wrapText="1"/>
    </xf>
    <xf numFmtId="0" fontId="26" fillId="4" borderId="9" xfId="0" applyFont="1" applyFill="1" applyBorder="1" applyAlignment="1">
      <alignment horizontal="left" vertical="center" wrapText="1"/>
    </xf>
    <xf numFmtId="177" fontId="25" fillId="4" borderId="9" xfId="0" applyNumberFormat="1" applyFont="1" applyFill="1" applyBorder="1" applyAlignment="1">
      <alignment horizontal="center" vertical="center"/>
    </xf>
    <xf numFmtId="0" fontId="10" fillId="4" borderId="9" xfId="3" applyFont="1" applyFill="1" applyBorder="1" applyAlignment="1" applyProtection="1">
      <alignment horizontal="left" vertical="center"/>
    </xf>
    <xf numFmtId="0" fontId="10" fillId="4" borderId="9" xfId="3" applyFont="1" applyFill="1" applyBorder="1" applyAlignment="1" applyProtection="1">
      <alignment horizontal="center" vertical="center"/>
    </xf>
    <xf numFmtId="184" fontId="19" fillId="5" borderId="9" xfId="0" applyNumberFormat="1" applyFont="1" applyFill="1" applyBorder="1" applyAlignment="1">
      <alignment horizontal="center" vertical="center"/>
    </xf>
    <xf numFmtId="177" fontId="20" fillId="4" borderId="9" xfId="0" applyNumberFormat="1" applyFont="1" applyFill="1" applyBorder="1" applyAlignment="1">
      <alignment horizontal="center" vertical="center"/>
    </xf>
    <xf numFmtId="185" fontId="25" fillId="4" borderId="9" xfId="0" applyNumberFormat="1" applyFont="1" applyFill="1" applyBorder="1" applyAlignment="1">
      <alignment horizontal="center" vertical="center" wrapText="1"/>
    </xf>
    <xf numFmtId="0" fontId="0" fillId="0" borderId="9" xfId="0" applyBorder="1" applyAlignment="1">
      <alignment horizontal="left" vertical="center" wrapText="1"/>
    </xf>
    <xf numFmtId="0" fontId="11" fillId="4" borderId="9" xfId="0" applyFont="1" applyFill="1" applyBorder="1" applyAlignment="1">
      <alignment horizontal="left" vertical="center" wrapText="1"/>
    </xf>
    <xf numFmtId="177" fontId="20" fillId="4" borderId="9" xfId="0" applyNumberFormat="1" applyFont="1" applyFill="1" applyBorder="1" applyAlignment="1">
      <alignment horizontal="left" vertical="center" wrapText="1"/>
    </xf>
    <xf numFmtId="176" fontId="25" fillId="5" borderId="9" xfId="0" applyNumberFormat="1" applyFont="1" applyFill="1" applyBorder="1" applyAlignment="1">
      <alignment horizontal="center" vertical="center"/>
    </xf>
    <xf numFmtId="182" fontId="19" fillId="4" borderId="9" xfId="0" applyNumberFormat="1" applyFont="1" applyFill="1" applyBorder="1" applyAlignment="1">
      <alignment horizontal="center" vertical="center" wrapText="1"/>
    </xf>
    <xf numFmtId="0" fontId="26" fillId="0" borderId="9" xfId="0" applyFont="1" applyBorder="1" applyAlignment="1">
      <alignment horizontal="center" vertical="center" wrapText="1"/>
    </xf>
    <xf numFmtId="0" fontId="25" fillId="4" borderId="9" xfId="0" applyFont="1" applyFill="1" applyBorder="1" applyAlignment="1" applyProtection="1">
      <alignment horizontal="left" vertical="center" wrapText="1"/>
    </xf>
    <xf numFmtId="0" fontId="15" fillId="0" borderId="9" xfId="0" applyFont="1" applyBorder="1">
      <alignment vertical="center"/>
    </xf>
    <xf numFmtId="176" fontId="12" fillId="4" borderId="18" xfId="0" applyNumberFormat="1" applyFont="1" applyFill="1" applyBorder="1" applyAlignment="1" applyProtection="1">
      <alignment horizontal="left" vertical="center" wrapText="1"/>
    </xf>
    <xf numFmtId="0" fontId="0" fillId="0" borderId="18" xfId="0" applyBorder="1">
      <alignment vertical="center"/>
    </xf>
    <xf numFmtId="0" fontId="20" fillId="4" borderId="2" xfId="0" applyFont="1" applyFill="1" applyBorder="1" applyAlignment="1">
      <alignment horizontal="left" vertical="center" wrapText="1"/>
    </xf>
    <xf numFmtId="0" fontId="0" fillId="0" borderId="19" xfId="0" applyBorder="1">
      <alignment vertical="center"/>
    </xf>
    <xf numFmtId="0" fontId="26" fillId="0" borderId="9" xfId="3" applyFont="1" applyBorder="1" applyAlignment="1">
      <alignment horizontal="center" vertical="center" wrapText="1"/>
    </xf>
    <xf numFmtId="0" fontId="25" fillId="4" borderId="9"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4" borderId="34" xfId="3" applyFont="1" applyFill="1" applyBorder="1" applyAlignment="1">
      <alignment horizontal="left" vertical="center" wrapText="1"/>
    </xf>
    <xf numFmtId="176" fontId="25" fillId="5" borderId="9" xfId="3" applyNumberFormat="1" applyFont="1" applyFill="1" applyBorder="1" applyAlignment="1">
      <alignment horizontal="center" vertical="center"/>
    </xf>
    <xf numFmtId="176" fontId="25" fillId="5" borderId="34" xfId="3" applyNumberFormat="1" applyFont="1" applyFill="1" applyBorder="1" applyAlignment="1">
      <alignment horizontal="center" vertical="center"/>
    </xf>
    <xf numFmtId="177" fontId="25" fillId="4" borderId="9" xfId="0" applyNumberFormat="1" applyFont="1" applyFill="1" applyBorder="1" applyAlignment="1">
      <alignment horizontal="center" vertical="center" wrapText="1"/>
    </xf>
    <xf numFmtId="177" fontId="25" fillId="4" borderId="34" xfId="0" applyNumberFormat="1" applyFont="1" applyFill="1" applyBorder="1" applyAlignment="1">
      <alignment horizontal="center" vertical="center" wrapText="1"/>
    </xf>
    <xf numFmtId="176" fontId="25" fillId="5" borderId="34" xfId="0" applyNumberFormat="1" applyFont="1" applyFill="1" applyBorder="1" applyAlignment="1">
      <alignment horizontal="center" vertical="center"/>
    </xf>
    <xf numFmtId="0" fontId="25" fillId="4" borderId="9" xfId="3" applyFont="1" applyFill="1" applyBorder="1" applyAlignment="1" applyProtection="1">
      <alignment horizontal="center" vertical="center" wrapText="1"/>
    </xf>
    <xf numFmtId="0" fontId="25" fillId="4" borderId="34" xfId="3" applyFont="1" applyFill="1" applyBorder="1" applyAlignment="1" applyProtection="1">
      <alignment horizontal="center" vertical="center" wrapText="1"/>
    </xf>
    <xf numFmtId="0" fontId="17" fillId="4" borderId="9" xfId="3" applyFont="1" applyFill="1" applyBorder="1" applyAlignment="1" applyProtection="1">
      <alignment horizontal="center" vertical="center" wrapText="1"/>
    </xf>
    <xf numFmtId="0" fontId="17" fillId="4" borderId="34" xfId="3" applyFont="1" applyFill="1" applyBorder="1" applyAlignment="1" applyProtection="1">
      <alignment horizontal="center" vertical="center" wrapText="1"/>
    </xf>
    <xf numFmtId="180" fontId="25" fillId="4" borderId="9" xfId="0" applyNumberFormat="1" applyFont="1" applyFill="1" applyBorder="1" applyAlignment="1">
      <alignment horizontal="center" vertical="center"/>
    </xf>
    <xf numFmtId="182" fontId="25" fillId="4" borderId="9" xfId="3" applyNumberFormat="1" applyFont="1" applyFill="1" applyBorder="1" applyAlignment="1">
      <alignment horizontal="center" vertical="center" wrapText="1"/>
    </xf>
    <xf numFmtId="0" fontId="17" fillId="4" borderId="9" xfId="3" applyFont="1" applyFill="1" applyBorder="1" applyAlignment="1">
      <alignment horizontal="center" vertical="center" wrapText="1"/>
    </xf>
    <xf numFmtId="0" fontId="26" fillId="4" borderId="9" xfId="3" applyFont="1" applyFill="1" applyBorder="1" applyAlignment="1" applyProtection="1">
      <alignment horizontal="center" vertical="center" wrapText="1"/>
    </xf>
    <xf numFmtId="0" fontId="26" fillId="4" borderId="34" xfId="3" applyFont="1" applyFill="1" applyBorder="1" applyAlignment="1" applyProtection="1">
      <alignment horizontal="center" vertical="center" wrapText="1"/>
    </xf>
    <xf numFmtId="0" fontId="11" fillId="4" borderId="34" xfId="0" applyFont="1" applyFill="1" applyBorder="1" applyAlignment="1">
      <alignment horizontal="left" vertical="center" wrapText="1"/>
    </xf>
    <xf numFmtId="178" fontId="25" fillId="4" borderId="9" xfId="0" applyNumberFormat="1" applyFont="1" applyFill="1" applyBorder="1" applyAlignment="1">
      <alignment horizontal="center" vertical="center"/>
    </xf>
    <xf numFmtId="0" fontId="12" fillId="4" borderId="9" xfId="0" applyFont="1" applyFill="1" applyBorder="1" applyAlignment="1">
      <alignment horizontal="left" vertical="center"/>
    </xf>
    <xf numFmtId="0" fontId="11" fillId="4" borderId="9" xfId="0" applyFont="1" applyFill="1" applyBorder="1" applyAlignment="1" applyProtection="1">
      <alignment horizontal="center" vertical="center" wrapText="1"/>
    </xf>
    <xf numFmtId="0" fontId="17" fillId="4" borderId="9" xfId="0" applyFont="1" applyFill="1" applyBorder="1" applyAlignment="1" applyProtection="1">
      <alignment horizontal="left" vertical="center" wrapText="1"/>
    </xf>
    <xf numFmtId="0" fontId="10" fillId="5" borderId="9" xfId="0" applyFont="1" applyFill="1" applyBorder="1" applyAlignment="1" applyProtection="1">
      <alignment horizontal="center" vertical="center"/>
    </xf>
    <xf numFmtId="178" fontId="12" fillId="4" borderId="9" xfId="0" applyNumberFormat="1"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177" fontId="19" fillId="0" borderId="9" xfId="0" applyNumberFormat="1" applyFont="1" applyFill="1" applyBorder="1" applyAlignment="1" applyProtection="1">
      <alignment horizontal="center" vertical="center"/>
    </xf>
    <xf numFmtId="0" fontId="11" fillId="0" borderId="10" xfId="0" applyFont="1" applyBorder="1" applyAlignment="1" applyProtection="1">
      <alignment horizontal="center" vertical="top" wrapText="1"/>
    </xf>
    <xf numFmtId="0" fontId="4" fillId="0" borderId="20" xfId="1" applyFont="1" applyBorder="1" applyAlignment="1" applyProtection="1">
      <alignment horizontal="center" vertical="center"/>
    </xf>
    <xf numFmtId="0" fontId="4" fillId="0" borderId="35" xfId="1" applyFont="1" applyBorder="1" applyAlignment="1" applyProtection="1">
      <alignment horizontal="center" vertical="center"/>
    </xf>
    <xf numFmtId="0" fontId="11" fillId="4" borderId="10" xfId="0" applyFont="1" applyFill="1" applyBorder="1" applyAlignment="1" applyProtection="1">
      <alignment horizontal="left" vertical="top" wrapText="1"/>
    </xf>
    <xf numFmtId="0" fontId="11" fillId="0" borderId="10" xfId="0" applyFont="1" applyBorder="1" applyAlignment="1" applyProtection="1">
      <alignment horizontal="left" vertical="center" wrapText="1"/>
    </xf>
    <xf numFmtId="0" fontId="16" fillId="4" borderId="10" xfId="0" applyFont="1" applyFill="1" applyBorder="1" applyAlignment="1" applyProtection="1">
      <alignment horizontal="left" vertical="top" wrapText="1"/>
    </xf>
    <xf numFmtId="0" fontId="11" fillId="0" borderId="10" xfId="0" applyFont="1" applyBorder="1" applyAlignment="1" applyProtection="1">
      <alignment horizontal="left" vertical="top" wrapText="1"/>
    </xf>
    <xf numFmtId="0" fontId="11" fillId="4" borderId="10" xfId="0" applyFont="1" applyFill="1" applyBorder="1" applyAlignment="1" applyProtection="1">
      <alignment horizontal="center" vertical="top" wrapText="1"/>
    </xf>
    <xf numFmtId="0" fontId="0" fillId="0" borderId="10" xfId="0" applyBorder="1" applyAlignment="1">
      <alignment horizontal="left" vertical="center" wrapText="1"/>
    </xf>
    <xf numFmtId="0" fontId="16" fillId="0" borderId="10" xfId="0" applyFont="1" applyBorder="1" applyAlignment="1" applyProtection="1">
      <alignment horizontal="left" vertical="top" wrapText="1"/>
    </xf>
    <xf numFmtId="0" fontId="11" fillId="4" borderId="10" xfId="0" applyFont="1" applyFill="1" applyBorder="1" applyAlignment="1" applyProtection="1">
      <alignment horizontal="center" vertical="center" wrapText="1"/>
    </xf>
    <xf numFmtId="0" fontId="7" fillId="0" borderId="10" xfId="0" applyFont="1" applyBorder="1" applyAlignment="1" applyProtection="1">
      <alignment horizontal="center" vertical="center"/>
    </xf>
    <xf numFmtId="176" fontId="12" fillId="5" borderId="9" xfId="0" applyNumberFormat="1" applyFont="1" applyFill="1" applyBorder="1" applyAlignment="1" applyProtection="1">
      <alignment horizontal="center" vertical="center"/>
    </xf>
    <xf numFmtId="0" fontId="10" fillId="4" borderId="9" xfId="0" applyFont="1" applyFill="1" applyBorder="1" applyAlignment="1" applyProtection="1">
      <alignment horizontal="center" vertical="center" wrapText="1"/>
    </xf>
    <xf numFmtId="0" fontId="16" fillId="0" borderId="9" xfId="0" applyFont="1" applyBorder="1" applyAlignment="1" applyProtection="1">
      <alignment horizontal="center" vertical="center"/>
    </xf>
    <xf numFmtId="0" fontId="11" fillId="4" borderId="9" xfId="0" applyNumberFormat="1" applyFont="1" applyFill="1" applyBorder="1" applyAlignment="1" applyProtection="1">
      <alignment horizontal="center" vertical="center"/>
    </xf>
    <xf numFmtId="0" fontId="13" fillId="0" borderId="9" xfId="0" applyFont="1" applyBorder="1" applyAlignment="1" applyProtection="1">
      <alignment horizontal="center" vertical="center" wrapText="1"/>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6" xfId="0" applyFont="1" applyBorder="1" applyAlignment="1">
      <alignment horizontal="left" vertical="center"/>
    </xf>
    <xf numFmtId="0" fontId="11" fillId="4" borderId="13" xfId="0" applyFont="1" applyFill="1" applyBorder="1" applyAlignment="1" applyProtection="1">
      <alignment horizontal="left" vertical="center"/>
    </xf>
    <xf numFmtId="0" fontId="11" fillId="4" borderId="14" xfId="0" applyFont="1" applyFill="1" applyBorder="1" applyAlignment="1" applyProtection="1">
      <alignment horizontal="left" vertical="center"/>
    </xf>
    <xf numFmtId="0" fontId="11" fillId="4" borderId="6" xfId="0" applyFont="1" applyFill="1" applyBorder="1" applyAlignment="1" applyProtection="1">
      <alignment horizontal="left" vertical="center"/>
    </xf>
    <xf numFmtId="0" fontId="10" fillId="4" borderId="9" xfId="0" applyFont="1" applyFill="1" applyBorder="1" applyAlignment="1" applyProtection="1">
      <alignment horizontal="center" vertical="center"/>
    </xf>
    <xf numFmtId="176" fontId="12" fillId="5" borderId="9" xfId="0" applyNumberFormat="1" applyFont="1" applyFill="1" applyBorder="1" applyAlignment="1" applyProtection="1">
      <alignment horizontal="center" vertical="center" wrapText="1"/>
      <protection locked="0"/>
    </xf>
    <xf numFmtId="0" fontId="12" fillId="5" borderId="9" xfId="0" applyFont="1" applyFill="1" applyBorder="1" applyAlignment="1" applyProtection="1">
      <alignment horizontal="center" vertical="center"/>
      <protection locked="0"/>
    </xf>
    <xf numFmtId="178" fontId="12" fillId="0" borderId="9" xfId="0" applyNumberFormat="1" applyFont="1" applyBorder="1" applyAlignment="1" applyProtection="1">
      <alignment horizontal="center" vertical="center"/>
    </xf>
    <xf numFmtId="0" fontId="19" fillId="0" borderId="9" xfId="0" applyFont="1" applyBorder="1" applyAlignment="1">
      <alignment horizontal="center" vertical="center" wrapText="1"/>
    </xf>
    <xf numFmtId="0" fontId="20" fillId="4" borderId="9" xfId="0" applyFont="1" applyFill="1" applyBorder="1" applyAlignment="1">
      <alignment horizontal="center" vertical="center"/>
    </xf>
    <xf numFmtId="176" fontId="12" fillId="4" borderId="9" xfId="0" applyNumberFormat="1" applyFont="1" applyFill="1" applyBorder="1" applyAlignment="1" applyProtection="1">
      <alignment horizontal="center" vertical="center" wrapText="1"/>
      <protection locked="0"/>
    </xf>
    <xf numFmtId="0" fontId="0" fillId="4" borderId="9" xfId="0" applyFill="1" applyBorder="1" applyAlignment="1">
      <alignment horizontal="center" vertical="center" wrapText="1"/>
    </xf>
    <xf numFmtId="0" fontId="11" fillId="4" borderId="9" xfId="0" applyFont="1" applyFill="1" applyBorder="1" applyAlignment="1" applyProtection="1">
      <alignment horizontal="center" vertical="center"/>
    </xf>
    <xf numFmtId="0" fontId="10" fillId="0" borderId="9" xfId="0" applyFont="1" applyBorder="1" applyAlignment="1" applyProtection="1">
      <alignment horizontal="left" vertical="center" wrapText="1"/>
    </xf>
    <xf numFmtId="0" fontId="16" fillId="0" borderId="9" xfId="0" applyFont="1" applyBorder="1" applyAlignment="1" applyProtection="1">
      <alignment horizontal="left" vertical="center" wrapText="1"/>
    </xf>
    <xf numFmtId="0" fontId="12" fillId="4" borderId="9" xfId="0" applyFont="1" applyFill="1" applyBorder="1" applyAlignment="1" applyProtection="1">
      <alignment horizontal="center" vertical="center"/>
    </xf>
    <xf numFmtId="0" fontId="19" fillId="4" borderId="9" xfId="0" applyFont="1" applyFill="1" applyBorder="1" applyAlignment="1">
      <alignment horizontal="center" vertical="center"/>
    </xf>
    <xf numFmtId="178" fontId="12" fillId="0" borderId="9" xfId="0" applyNumberFormat="1" applyFont="1" applyBorder="1" applyAlignment="1" applyProtection="1">
      <alignment horizontal="center" vertical="center" wrapText="1"/>
    </xf>
    <xf numFmtId="0" fontId="11" fillId="0" borderId="9" xfId="0" applyFont="1" applyBorder="1" applyAlignment="1" applyProtection="1">
      <alignment horizontal="center" vertical="center"/>
    </xf>
    <xf numFmtId="0" fontId="10" fillId="4" borderId="22" xfId="0" applyFont="1" applyFill="1" applyBorder="1" applyAlignment="1" applyProtection="1">
      <alignment horizontal="left" vertical="center"/>
    </xf>
    <xf numFmtId="0" fontId="10" fillId="4" borderId="8" xfId="0" applyFont="1" applyFill="1" applyBorder="1" applyAlignment="1" applyProtection="1">
      <alignment horizontal="left" vertical="center"/>
    </xf>
    <xf numFmtId="0" fontId="10" fillId="0" borderId="8" xfId="0" applyFont="1" applyBorder="1" applyAlignment="1" applyProtection="1">
      <alignment horizontal="left" vertical="center"/>
    </xf>
    <xf numFmtId="0" fontId="15" fillId="0" borderId="8" xfId="0" applyFont="1" applyBorder="1" applyAlignment="1">
      <alignment horizontal="left" vertical="center"/>
    </xf>
    <xf numFmtId="0" fontId="10" fillId="4" borderId="8" xfId="0" applyFont="1" applyFill="1" applyBorder="1" applyAlignment="1" applyProtection="1">
      <alignment horizontal="left" vertical="center" wrapText="1"/>
    </xf>
    <xf numFmtId="0" fontId="15" fillId="0" borderId="8" xfId="0" applyFont="1" applyBorder="1" applyAlignment="1">
      <alignment horizontal="left" vertical="center" wrapText="1"/>
    </xf>
    <xf numFmtId="178" fontId="12" fillId="4" borderId="9" xfId="0" applyNumberFormat="1" applyFont="1" applyFill="1" applyBorder="1" applyAlignment="1" applyProtection="1">
      <alignment horizontal="center" vertical="center"/>
    </xf>
    <xf numFmtId="0" fontId="10" fillId="4" borderId="23" xfId="0" applyFont="1" applyFill="1" applyBorder="1" applyAlignment="1" applyProtection="1">
      <alignment horizontal="left" vertical="center"/>
    </xf>
    <xf numFmtId="0" fontId="10" fillId="4" borderId="9" xfId="0" applyFont="1" applyFill="1" applyBorder="1" applyAlignment="1" applyProtection="1">
      <alignment horizontal="left" vertical="center"/>
    </xf>
    <xf numFmtId="0" fontId="13" fillId="4" borderId="9" xfId="0" applyNumberFormat="1" applyFont="1" applyFill="1" applyBorder="1" applyAlignment="1" applyProtection="1">
      <alignment horizontal="center" vertical="center" wrapText="1"/>
    </xf>
    <xf numFmtId="1" fontId="10" fillId="4" borderId="8" xfId="0" applyNumberFormat="1" applyFont="1" applyFill="1" applyBorder="1" applyAlignment="1">
      <alignment horizontal="left" vertical="center"/>
    </xf>
    <xf numFmtId="0" fontId="12" fillId="4" borderId="9" xfId="0" applyFont="1" applyFill="1" applyBorder="1" applyAlignment="1" applyProtection="1">
      <alignment horizontal="left" vertical="center"/>
    </xf>
    <xf numFmtId="0" fontId="10" fillId="0" borderId="8" xfId="0" applyFont="1" applyBorder="1" applyAlignment="1" applyProtection="1">
      <alignment horizontal="left" vertical="center" wrapText="1"/>
    </xf>
    <xf numFmtId="0" fontId="11" fillId="4" borderId="9" xfId="0" applyFont="1" applyFill="1" applyBorder="1" applyAlignment="1" applyProtection="1">
      <alignment horizontal="left" vertical="center" wrapText="1"/>
    </xf>
    <xf numFmtId="0" fontId="11" fillId="0" borderId="9" xfId="0" applyFont="1" applyBorder="1" applyAlignment="1" applyProtection="1">
      <alignment horizontal="left" vertical="center" wrapText="1"/>
    </xf>
    <xf numFmtId="0" fontId="0" fillId="0" borderId="9" xfId="0" applyBorder="1" applyAlignment="1">
      <alignment horizontal="center" vertical="center" wrapText="1"/>
    </xf>
    <xf numFmtId="0" fontId="13" fillId="4" borderId="9"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xf>
    <xf numFmtId="0" fontId="12" fillId="5" borderId="9" xfId="0" applyNumberFormat="1" applyFont="1" applyFill="1" applyBorder="1" applyAlignment="1" applyProtection="1">
      <alignment horizontal="center" vertical="center"/>
      <protection locked="0"/>
    </xf>
    <xf numFmtId="178" fontId="19" fillId="0" borderId="9" xfId="0" applyNumberFormat="1" applyFont="1" applyBorder="1" applyAlignment="1">
      <alignment horizontal="center" vertical="center"/>
    </xf>
    <xf numFmtId="0" fontId="0" fillId="0" borderId="9" xfId="0" applyBorder="1" applyAlignment="1">
      <alignment horizontal="center" vertical="center"/>
    </xf>
    <xf numFmtId="0" fontId="24" fillId="4" borderId="9" xfId="0" applyFont="1" applyFill="1" applyBorder="1" applyAlignment="1">
      <alignment horizontal="center" vertical="center"/>
    </xf>
    <xf numFmtId="0" fontId="16" fillId="4" borderId="9" xfId="0" applyFont="1" applyFill="1" applyBorder="1" applyAlignment="1" applyProtection="1">
      <alignment horizontal="center" vertical="center"/>
    </xf>
    <xf numFmtId="177" fontId="12" fillId="4" borderId="9" xfId="0" applyNumberFormat="1" applyFont="1" applyFill="1" applyBorder="1" applyAlignment="1" applyProtection="1">
      <alignment horizontal="center" vertical="center"/>
    </xf>
    <xf numFmtId="176" fontId="12" fillId="5" borderId="9" xfId="0" applyNumberFormat="1" applyFont="1" applyFill="1" applyBorder="1" applyAlignment="1" applyProtection="1">
      <alignment horizontal="center" vertical="center" wrapText="1"/>
    </xf>
    <xf numFmtId="0" fontId="13" fillId="0" borderId="9" xfId="0" applyNumberFormat="1" applyFont="1" applyBorder="1" applyAlignment="1" applyProtection="1">
      <alignment horizontal="center" vertical="center" wrapText="1"/>
    </xf>
    <xf numFmtId="0" fontId="16" fillId="4" borderId="9" xfId="3" applyFont="1" applyFill="1" applyBorder="1" applyAlignment="1" applyProtection="1">
      <alignment horizontal="left" vertical="center" wrapText="1"/>
    </xf>
    <xf numFmtId="0" fontId="11" fillId="4" borderId="9" xfId="0" applyFont="1" applyFill="1" applyBorder="1" applyAlignment="1" applyProtection="1">
      <alignment horizontal="left" vertical="top" wrapText="1"/>
    </xf>
    <xf numFmtId="0" fontId="38" fillId="0" borderId="9" xfId="0" applyFont="1" applyBorder="1" applyAlignment="1">
      <alignment horizontal="left" vertical="center" wrapText="1"/>
    </xf>
    <xf numFmtId="0" fontId="10" fillId="5" borderId="9" xfId="0" applyFont="1" applyFill="1" applyBorder="1" applyAlignment="1" applyProtection="1">
      <alignment horizontal="center" vertical="center"/>
      <protection locked="0"/>
    </xf>
    <xf numFmtId="0" fontId="11" fillId="4" borderId="9" xfId="0" applyFont="1" applyFill="1" applyBorder="1" applyAlignment="1" applyProtection="1">
      <alignment horizontal="left" vertical="center"/>
    </xf>
    <xf numFmtId="0" fontId="10" fillId="4" borderId="40" xfId="0" applyFont="1" applyFill="1" applyBorder="1" applyAlignment="1" applyProtection="1">
      <alignment horizontal="left" vertical="center"/>
    </xf>
    <xf numFmtId="0" fontId="12" fillId="4" borderId="9" xfId="0" applyFont="1" applyFill="1" applyBorder="1" applyAlignment="1" applyProtection="1">
      <alignment horizontal="center" vertical="center" wrapText="1"/>
    </xf>
    <xf numFmtId="0" fontId="16" fillId="4" borderId="34" xfId="3" applyFont="1" applyFill="1" applyBorder="1" applyAlignment="1" applyProtection="1">
      <alignment horizontal="left" vertical="center" wrapText="1"/>
    </xf>
    <xf numFmtId="0" fontId="11" fillId="0" borderId="9" xfId="0" applyNumberFormat="1" applyFont="1" applyBorder="1" applyAlignment="1" applyProtection="1">
      <alignment horizontal="center" vertical="center"/>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176" fontId="11" fillId="0" borderId="30" xfId="0" applyNumberFormat="1" applyFont="1" applyBorder="1" applyAlignment="1" applyProtection="1">
      <alignment vertical="top" wrapText="1"/>
    </xf>
    <xf numFmtId="0" fontId="0" fillId="0" borderId="19" xfId="0" applyBorder="1" applyProtection="1">
      <alignment vertical="center"/>
    </xf>
    <xf numFmtId="176" fontId="12" fillId="5" borderId="34" xfId="0" applyNumberFormat="1" applyFont="1" applyFill="1" applyBorder="1" applyAlignment="1" applyProtection="1">
      <alignment horizontal="center" vertical="center"/>
    </xf>
    <xf numFmtId="178" fontId="10" fillId="0" borderId="9" xfId="3" applyNumberFormat="1" applyFont="1" applyBorder="1" applyAlignment="1" applyProtection="1">
      <alignment horizontal="center" vertical="center" wrapText="1"/>
    </xf>
    <xf numFmtId="178" fontId="10" fillId="0" borderId="34" xfId="3" applyNumberFormat="1" applyFont="1" applyBorder="1" applyAlignment="1" applyProtection="1">
      <alignment horizontal="center" vertical="center" wrapText="1"/>
    </xf>
    <xf numFmtId="0" fontId="16" fillId="0" borderId="9" xfId="3" applyNumberFormat="1" applyFont="1" applyBorder="1" applyAlignment="1" applyProtection="1">
      <alignment horizontal="center" vertical="center"/>
    </xf>
    <xf numFmtId="0" fontId="16" fillId="0" borderId="34" xfId="3" applyNumberFormat="1" applyFont="1" applyBorder="1" applyAlignment="1" applyProtection="1">
      <alignment horizontal="center" vertical="center"/>
    </xf>
    <xf numFmtId="0" fontId="13" fillId="0" borderId="9" xfId="3" applyNumberFormat="1" applyFont="1" applyBorder="1" applyAlignment="1" applyProtection="1">
      <alignment horizontal="center" vertical="center" wrapText="1"/>
    </xf>
    <xf numFmtId="0" fontId="13" fillId="0" borderId="34" xfId="3" applyNumberFormat="1" applyFont="1" applyBorder="1" applyAlignment="1" applyProtection="1">
      <alignment horizontal="center" vertical="center" wrapText="1"/>
    </xf>
    <xf numFmtId="0" fontId="25" fillId="4" borderId="9" xfId="3" applyFont="1" applyFill="1" applyBorder="1" applyAlignment="1">
      <alignment horizontal="left" vertical="center"/>
    </xf>
    <xf numFmtId="0" fontId="25" fillId="4" borderId="34" xfId="3" applyFont="1" applyFill="1" applyBorder="1" applyAlignment="1">
      <alignment horizontal="left" vertical="center"/>
    </xf>
    <xf numFmtId="0" fontId="17" fillId="4" borderId="9" xfId="3" applyFont="1" applyFill="1" applyBorder="1" applyAlignment="1">
      <alignment horizontal="left" vertical="center"/>
    </xf>
    <xf numFmtId="0" fontId="17" fillId="4" borderId="34" xfId="3" applyFont="1" applyFill="1" applyBorder="1" applyAlignment="1">
      <alignment horizontal="left" vertical="center"/>
    </xf>
    <xf numFmtId="0" fontId="10" fillId="4" borderId="34" xfId="3" applyFont="1" applyFill="1" applyBorder="1" applyAlignment="1" applyProtection="1">
      <alignment horizontal="center" vertical="center"/>
    </xf>
    <xf numFmtId="176" fontId="12" fillId="5" borderId="34" xfId="0" applyNumberFormat="1" applyFont="1" applyFill="1" applyBorder="1" applyAlignment="1" applyProtection="1">
      <alignment horizontal="center" vertical="center" wrapText="1"/>
      <protection locked="0"/>
    </xf>
    <xf numFmtId="0" fontId="12" fillId="5" borderId="34" xfId="0" applyNumberFormat="1" applyFont="1" applyFill="1" applyBorder="1" applyAlignment="1" applyProtection="1">
      <alignment horizontal="center" vertical="center"/>
      <protection locked="0"/>
    </xf>
    <xf numFmtId="178" fontId="10" fillId="5" borderId="9" xfId="0" applyNumberFormat="1" applyFont="1" applyFill="1" applyBorder="1" applyAlignment="1" applyProtection="1">
      <alignment horizontal="center" vertical="center"/>
    </xf>
    <xf numFmtId="178" fontId="10" fillId="5" borderId="34" xfId="0" applyNumberFormat="1" applyFont="1" applyFill="1" applyBorder="1" applyAlignment="1" applyProtection="1">
      <alignment horizontal="center" vertical="center"/>
    </xf>
    <xf numFmtId="176" fontId="10" fillId="4" borderId="9" xfId="0" applyNumberFormat="1" applyFont="1" applyFill="1" applyBorder="1" applyAlignment="1" applyProtection="1">
      <alignment horizontal="left" vertical="center" wrapText="1"/>
    </xf>
    <xf numFmtId="0" fontId="39" fillId="0" borderId="9" xfId="0" applyFont="1" applyBorder="1" applyAlignment="1" applyProtection="1">
      <alignment horizontal="left" vertical="center"/>
    </xf>
    <xf numFmtId="0" fontId="27" fillId="0" borderId="8" xfId="0" applyFont="1" applyBorder="1" applyAlignment="1" applyProtection="1">
      <alignment horizontal="left" vertical="center"/>
    </xf>
    <xf numFmtId="0" fontId="12" fillId="4" borderId="8" xfId="0" applyFont="1" applyFill="1" applyBorder="1" applyAlignment="1" applyProtection="1">
      <alignment horizontal="left" vertical="center"/>
    </xf>
    <xf numFmtId="0" fontId="25" fillId="4" borderId="8" xfId="0" applyFont="1" applyFill="1" applyBorder="1" applyAlignment="1">
      <alignment horizontal="left" vertical="center"/>
    </xf>
    <xf numFmtId="0" fontId="25" fillId="0" borderId="8" xfId="0" applyFont="1" applyBorder="1" applyAlignment="1">
      <alignment horizontal="left" vertical="center"/>
    </xf>
    <xf numFmtId="0" fontId="25" fillId="4" borderId="9" xfId="0" applyNumberFormat="1" applyFont="1" applyFill="1" applyBorder="1" applyAlignment="1">
      <alignment horizontal="left" vertical="center" wrapText="1"/>
    </xf>
    <xf numFmtId="0" fontId="25" fillId="4" borderId="9" xfId="0" applyFont="1" applyFill="1" applyBorder="1" applyAlignment="1">
      <alignment horizontal="left" vertical="center"/>
    </xf>
    <xf numFmtId="0" fontId="25" fillId="0" borderId="9" xfId="0" applyFont="1" applyBorder="1" applyAlignment="1">
      <alignment horizontal="left" vertical="center"/>
    </xf>
    <xf numFmtId="0" fontId="17" fillId="4" borderId="9" xfId="0" applyNumberFormat="1" applyFont="1" applyFill="1" applyBorder="1" applyAlignment="1">
      <alignment horizontal="left" vertical="center" wrapText="1"/>
    </xf>
    <xf numFmtId="176" fontId="10" fillId="5" borderId="9" xfId="0" applyNumberFormat="1" applyFont="1" applyFill="1" applyBorder="1" applyAlignment="1" applyProtection="1">
      <alignment horizontal="center" vertical="center"/>
    </xf>
    <xf numFmtId="0" fontId="0" fillId="4" borderId="9" xfId="0" applyFill="1" applyBorder="1" applyAlignment="1">
      <alignment horizontal="center" vertical="center"/>
    </xf>
    <xf numFmtId="0" fontId="49" fillId="0" borderId="0" xfId="0" applyFont="1" applyBorder="1" applyAlignment="1">
      <alignment horizontal="center" vertical="center"/>
    </xf>
    <xf numFmtId="0" fontId="51" fillId="0" borderId="35" xfId="0" applyFont="1" applyBorder="1" applyAlignment="1">
      <alignment horizontal="left" vertical="center" wrapText="1"/>
    </xf>
    <xf numFmtId="0" fontId="10" fillId="0" borderId="8" xfId="0" applyFont="1" applyBorder="1" applyAlignment="1">
      <alignment horizontal="center" vertical="center"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19" fillId="4" borderId="13" xfId="20" applyFont="1" applyFill="1" applyBorder="1" applyAlignment="1" applyProtection="1">
      <alignment horizontal="left" vertical="center" wrapText="1"/>
    </xf>
    <xf numFmtId="0" fontId="19" fillId="4" borderId="14" xfId="20" applyFont="1" applyFill="1" applyBorder="1" applyAlignment="1" applyProtection="1">
      <alignment horizontal="left" vertical="center" wrapText="1"/>
    </xf>
    <xf numFmtId="0" fontId="4" fillId="0" borderId="0" xfId="20" applyFont="1" applyBorder="1" applyAlignment="1">
      <alignment horizontal="center" vertical="center"/>
    </xf>
    <xf numFmtId="0" fontId="8" fillId="3" borderId="36" xfId="2" applyFont="1" applyFill="1" applyBorder="1" applyAlignment="1" applyProtection="1">
      <alignment horizontal="center" vertical="center" wrapText="1"/>
    </xf>
    <xf numFmtId="0" fontId="8" fillId="3" borderId="30" xfId="2" applyFont="1" applyFill="1" applyBorder="1" applyAlignment="1" applyProtection="1">
      <alignment horizontal="center" vertical="center" wrapText="1"/>
    </xf>
    <xf numFmtId="0" fontId="8" fillId="3" borderId="38" xfId="2" applyFont="1" applyFill="1" applyBorder="1" applyAlignment="1" applyProtection="1">
      <alignment horizontal="center" vertical="center" wrapText="1"/>
    </xf>
    <xf numFmtId="0" fontId="8" fillId="3" borderId="19" xfId="2" applyFont="1" applyFill="1" applyBorder="1" applyAlignment="1" applyProtection="1">
      <alignment horizontal="center" vertical="center" wrapText="1"/>
    </xf>
    <xf numFmtId="0" fontId="8" fillId="3" borderId="23" xfId="2" applyFont="1" applyFill="1" applyBorder="1" applyAlignment="1" applyProtection="1">
      <alignment horizontal="center" vertical="center" wrapText="1"/>
    </xf>
    <xf numFmtId="176" fontId="8" fillId="3" borderId="38" xfId="2" applyNumberFormat="1" applyFont="1" applyFill="1" applyBorder="1" applyAlignment="1" applyProtection="1">
      <alignment horizontal="center" vertical="center" wrapText="1"/>
    </xf>
    <xf numFmtId="176" fontId="8" fillId="3" borderId="19" xfId="2" applyNumberFormat="1" applyFont="1" applyFill="1" applyBorder="1" applyAlignment="1" applyProtection="1">
      <alignment horizontal="center" vertical="center" wrapText="1"/>
    </xf>
    <xf numFmtId="0" fontId="8" fillId="3" borderId="13" xfId="2" applyFont="1" applyFill="1" applyBorder="1" applyAlignment="1" applyProtection="1">
      <alignment horizontal="center" vertical="center" wrapText="1"/>
    </xf>
    <xf numFmtId="0" fontId="59" fillId="4" borderId="13" xfId="20" applyFont="1" applyFill="1" applyBorder="1" applyAlignment="1">
      <alignment horizontal="center" vertical="center"/>
    </xf>
    <xf numFmtId="0" fontId="59" fillId="4" borderId="14" xfId="20" applyFont="1" applyFill="1" applyBorder="1" applyAlignment="1">
      <alignment horizontal="center" vertical="center"/>
    </xf>
    <xf numFmtId="0" fontId="59" fillId="4" borderId="6" xfId="20" applyFont="1" applyFill="1" applyBorder="1" applyAlignment="1">
      <alignment horizontal="center" vertical="center"/>
    </xf>
    <xf numFmtId="0" fontId="59" fillId="4" borderId="13" xfId="20" applyFont="1" applyFill="1" applyBorder="1" applyAlignment="1">
      <alignment horizontal="left" vertical="top" wrapText="1"/>
    </xf>
    <xf numFmtId="0" fontId="59" fillId="4" borderId="14" xfId="20" applyFont="1" applyFill="1" applyBorder="1" applyAlignment="1">
      <alignment horizontal="left" vertical="top" wrapText="1"/>
    </xf>
    <xf numFmtId="0" fontId="59" fillId="4" borderId="6" xfId="20" applyFont="1" applyFill="1" applyBorder="1" applyAlignment="1">
      <alignment horizontal="left" vertical="top" wrapText="1"/>
    </xf>
    <xf numFmtId="0" fontId="17" fillId="4" borderId="13" xfId="20" applyFont="1" applyFill="1" applyBorder="1" applyAlignment="1">
      <alignment horizontal="left" vertical="top" wrapText="1"/>
    </xf>
    <xf numFmtId="0" fontId="17" fillId="4" borderId="14" xfId="20" applyFont="1" applyFill="1" applyBorder="1" applyAlignment="1">
      <alignment horizontal="left" vertical="top" wrapText="1"/>
    </xf>
    <xf numFmtId="0" fontId="17" fillId="4" borderId="6" xfId="20" applyFont="1" applyFill="1" applyBorder="1" applyAlignment="1">
      <alignment horizontal="left" vertical="top" wrapText="1"/>
    </xf>
    <xf numFmtId="0" fontId="17" fillId="4" borderId="15" xfId="20" applyFont="1" applyFill="1" applyBorder="1" applyAlignment="1">
      <alignment horizontal="left" vertical="top" wrapText="1"/>
    </xf>
    <xf numFmtId="0" fontId="17" fillId="4" borderId="16" xfId="20" applyFont="1" applyFill="1" applyBorder="1" applyAlignment="1">
      <alignment horizontal="left" vertical="top" wrapText="1"/>
    </xf>
    <xf numFmtId="0" fontId="17" fillId="4" borderId="7" xfId="20" applyFont="1" applyFill="1" applyBorder="1" applyAlignment="1">
      <alignment horizontal="left" vertical="top" wrapText="1"/>
    </xf>
    <xf numFmtId="0" fontId="8" fillId="3" borderId="24" xfId="2" applyFont="1" applyFill="1" applyBorder="1" applyAlignment="1" applyProtection="1">
      <alignment horizontal="center" vertical="center" wrapText="1"/>
    </xf>
    <xf numFmtId="0" fontId="8" fillId="3" borderId="15" xfId="2" applyFont="1" applyFill="1" applyBorder="1" applyAlignment="1" applyProtection="1">
      <alignment horizontal="center" vertical="center" wrapText="1"/>
    </xf>
    <xf numFmtId="0" fontId="19" fillId="4" borderId="11" xfId="20" applyFont="1" applyFill="1" applyBorder="1" applyAlignment="1" applyProtection="1">
      <alignment horizontal="left" vertical="center" wrapText="1"/>
    </xf>
    <xf numFmtId="0" fontId="19" fillId="4" borderId="12" xfId="20" applyFont="1" applyFill="1" applyBorder="1" applyAlignment="1" applyProtection="1">
      <alignment horizontal="left" vertical="center" wrapText="1"/>
    </xf>
    <xf numFmtId="0" fontId="19" fillId="4" borderId="5" xfId="20" applyFont="1" applyFill="1" applyBorder="1" applyAlignment="1" applyProtection="1">
      <alignment horizontal="left" vertical="center" wrapText="1"/>
    </xf>
    <xf numFmtId="0" fontId="59" fillId="4" borderId="13" xfId="20" applyFont="1" applyFill="1" applyBorder="1" applyAlignment="1" applyProtection="1">
      <alignment horizontal="left" vertical="center" wrapText="1"/>
    </xf>
    <xf numFmtId="0" fontId="59" fillId="4" borderId="14" xfId="20" applyFont="1" applyFill="1" applyBorder="1" applyAlignment="1" applyProtection="1">
      <alignment horizontal="left" vertical="center" wrapText="1"/>
    </xf>
    <xf numFmtId="0" fontId="59" fillId="4" borderId="6" xfId="20" applyFont="1" applyFill="1" applyBorder="1" applyAlignment="1" applyProtection="1">
      <alignment horizontal="left" vertical="center" wrapText="1"/>
    </xf>
    <xf numFmtId="176" fontId="58" fillId="6" borderId="13" xfId="20" applyNumberFormat="1" applyFont="1" applyFill="1" applyBorder="1" applyAlignment="1">
      <alignment horizontal="center" vertical="center"/>
    </xf>
    <xf numFmtId="176" fontId="58" fillId="6" borderId="14" xfId="20" applyNumberFormat="1" applyFont="1" applyFill="1" applyBorder="1" applyAlignment="1">
      <alignment horizontal="center" vertical="center"/>
    </xf>
    <xf numFmtId="176" fontId="58" fillId="6" borderId="6" xfId="20" applyNumberFormat="1" applyFont="1" applyFill="1" applyBorder="1" applyAlignment="1">
      <alignment horizontal="center" vertical="center"/>
    </xf>
    <xf numFmtId="0" fontId="59" fillId="4" borderId="13" xfId="20" applyFont="1" applyFill="1" applyBorder="1" applyAlignment="1">
      <alignment horizontal="center" vertical="top" wrapText="1"/>
    </xf>
    <xf numFmtId="0" fontId="59" fillId="4" borderId="14" xfId="20" applyFont="1" applyFill="1" applyBorder="1" applyAlignment="1">
      <alignment horizontal="center" vertical="top" wrapText="1"/>
    </xf>
    <xf numFmtId="0" fontId="59" fillId="4" borderId="6" xfId="20" applyFont="1" applyFill="1" applyBorder="1" applyAlignment="1">
      <alignment horizontal="center" vertical="top" wrapText="1"/>
    </xf>
    <xf numFmtId="0" fontId="19" fillId="4" borderId="8" xfId="20" applyFont="1" applyFill="1" applyBorder="1" applyAlignment="1" applyProtection="1">
      <alignment horizontal="left" vertical="center" wrapText="1"/>
    </xf>
    <xf numFmtId="0" fontId="20" fillId="4" borderId="9" xfId="20" applyFont="1" applyFill="1" applyBorder="1" applyAlignment="1">
      <alignment horizontal="center" vertical="top" wrapText="1"/>
    </xf>
    <xf numFmtId="0" fontId="59" fillId="4" borderId="9" xfId="20" applyFont="1" applyFill="1" applyBorder="1" applyAlignment="1" applyProtection="1">
      <alignment horizontal="left" vertical="center" wrapText="1"/>
    </xf>
    <xf numFmtId="0" fontId="57" fillId="4" borderId="9" xfId="20" applyFill="1" applyBorder="1" applyAlignment="1">
      <alignment horizontal="left" vertical="center"/>
    </xf>
    <xf numFmtId="178" fontId="58" fillId="6" borderId="13" xfId="20" applyNumberFormat="1" applyFont="1" applyFill="1" applyBorder="1" applyAlignment="1">
      <alignment horizontal="center" vertical="center"/>
    </xf>
    <xf numFmtId="178" fontId="58" fillId="6" borderId="14" xfId="20" applyNumberFormat="1" applyFont="1" applyFill="1" applyBorder="1" applyAlignment="1">
      <alignment horizontal="center" vertical="center"/>
    </xf>
    <xf numFmtId="178" fontId="58" fillId="6" borderId="6" xfId="20" applyNumberFormat="1" applyFont="1" applyFill="1" applyBorder="1" applyAlignment="1">
      <alignment horizontal="center" vertical="center"/>
    </xf>
    <xf numFmtId="0" fontId="17" fillId="4" borderId="9" xfId="20" applyFont="1" applyFill="1" applyBorder="1" applyAlignment="1">
      <alignment horizontal="center" vertical="top" wrapText="1"/>
    </xf>
    <xf numFmtId="0" fontId="17" fillId="4" borderId="9" xfId="20" applyFont="1" applyFill="1" applyBorder="1" applyAlignment="1">
      <alignment horizontal="left" vertical="top" wrapText="1"/>
    </xf>
    <xf numFmtId="176" fontId="58" fillId="4" borderId="13" xfId="20" applyNumberFormat="1" applyFont="1" applyFill="1" applyBorder="1" applyAlignment="1">
      <alignment horizontal="center" vertical="center"/>
    </xf>
    <xf numFmtId="176" fontId="58" fillId="4" borderId="14" xfId="20" applyNumberFormat="1" applyFont="1" applyFill="1" applyBorder="1" applyAlignment="1">
      <alignment horizontal="center" vertical="center"/>
    </xf>
    <xf numFmtId="176" fontId="58" fillId="4" borderId="6" xfId="20" applyNumberFormat="1" applyFont="1" applyFill="1" applyBorder="1" applyAlignment="1">
      <alignment horizontal="center" vertical="center"/>
    </xf>
    <xf numFmtId="176" fontId="47" fillId="4" borderId="13" xfId="20" applyNumberFormat="1" applyFont="1" applyFill="1" applyBorder="1" applyAlignment="1">
      <alignment horizontal="center" vertical="center"/>
    </xf>
    <xf numFmtId="176" fontId="47" fillId="4" borderId="14" xfId="20" applyNumberFormat="1" applyFont="1" applyFill="1" applyBorder="1" applyAlignment="1">
      <alignment horizontal="center" vertical="center"/>
    </xf>
    <xf numFmtId="176" fontId="47" fillId="4" borderId="6" xfId="20" applyNumberFormat="1" applyFont="1" applyFill="1" applyBorder="1" applyAlignment="1">
      <alignment horizontal="center" vertical="center"/>
    </xf>
    <xf numFmtId="178" fontId="58" fillId="4" borderId="13" xfId="20" applyNumberFormat="1" applyFont="1" applyFill="1" applyBorder="1" applyAlignment="1">
      <alignment horizontal="center" vertical="center"/>
    </xf>
    <xf numFmtId="178" fontId="58" fillId="4" borderId="14" xfId="20" applyNumberFormat="1" applyFont="1" applyFill="1" applyBorder="1" applyAlignment="1">
      <alignment horizontal="center" vertical="center"/>
    </xf>
    <xf numFmtId="178" fontId="58" fillId="4" borderId="6" xfId="20" applyNumberFormat="1" applyFont="1" applyFill="1" applyBorder="1" applyAlignment="1">
      <alignment horizontal="center" vertical="center"/>
    </xf>
    <xf numFmtId="0" fontId="17" fillId="4" borderId="10" xfId="20" applyFont="1" applyFill="1" applyBorder="1" applyAlignment="1">
      <alignment horizontal="left" vertical="top" wrapText="1"/>
    </xf>
    <xf numFmtId="176" fontId="58" fillId="4" borderId="9" xfId="20" applyNumberFormat="1" applyFont="1" applyFill="1" applyBorder="1" applyAlignment="1">
      <alignment horizontal="center" vertical="center"/>
    </xf>
    <xf numFmtId="178" fontId="58" fillId="4" borderId="9" xfId="20" applyNumberFormat="1" applyFont="1" applyFill="1" applyBorder="1" applyAlignment="1">
      <alignment horizontal="center" vertical="center"/>
    </xf>
    <xf numFmtId="0" fontId="59" fillId="4" borderId="9" xfId="20" applyFont="1" applyFill="1" applyBorder="1" applyAlignment="1">
      <alignment horizontal="center" vertical="center"/>
    </xf>
    <xf numFmtId="0" fontId="25" fillId="4" borderId="9" xfId="20" applyFont="1" applyFill="1" applyBorder="1" applyAlignment="1" applyProtection="1">
      <alignment horizontal="left" vertical="center" wrapText="1"/>
    </xf>
    <xf numFmtId="0" fontId="19" fillId="4" borderId="52" xfId="20" applyFont="1" applyFill="1" applyBorder="1" applyAlignment="1" applyProtection="1">
      <alignment horizontal="left" vertical="center" wrapText="1"/>
    </xf>
    <xf numFmtId="0" fontId="19" fillId="4" borderId="26" xfId="20" applyFont="1" applyFill="1" applyBorder="1" applyAlignment="1" applyProtection="1">
      <alignment horizontal="left" vertical="center" wrapText="1"/>
    </xf>
    <xf numFmtId="0" fontId="19" fillId="4" borderId="53" xfId="20" applyFont="1" applyFill="1" applyBorder="1" applyAlignment="1" applyProtection="1">
      <alignment horizontal="left" vertical="center" wrapText="1"/>
    </xf>
    <xf numFmtId="0" fontId="58" fillId="4" borderId="9" xfId="20" applyFont="1" applyFill="1" applyBorder="1" applyAlignment="1">
      <alignment horizontal="center" vertical="center"/>
    </xf>
    <xf numFmtId="0" fontId="19" fillId="4" borderId="9" xfId="20" applyFont="1" applyFill="1" applyBorder="1" applyAlignment="1" applyProtection="1">
      <alignment horizontal="left" vertical="center" wrapText="1"/>
    </xf>
    <xf numFmtId="0" fontId="57" fillId="0" borderId="9" xfId="20" applyBorder="1" applyAlignment="1">
      <alignment horizontal="left" vertical="center"/>
    </xf>
    <xf numFmtId="0" fontId="24" fillId="0" borderId="34" xfId="20" applyFont="1" applyBorder="1" applyAlignment="1">
      <alignment horizontal="left" vertical="center" wrapText="1"/>
    </xf>
    <xf numFmtId="0" fontId="24" fillId="0" borderId="41" xfId="20" applyFont="1" applyBorder="1" applyAlignment="1">
      <alignment horizontal="left" vertical="center" wrapText="1"/>
    </xf>
    <xf numFmtId="0" fontId="16" fillId="0" borderId="10" xfId="0" applyFont="1" applyFill="1" applyBorder="1" applyAlignment="1">
      <alignment horizontal="left" vertical="center" wrapText="1"/>
    </xf>
    <xf numFmtId="0" fontId="20" fillId="0" borderId="34" xfId="0" applyFont="1" applyBorder="1" applyAlignment="1">
      <alignment horizontal="left" vertical="center" wrapText="1"/>
    </xf>
    <xf numFmtId="0" fontId="20" fillId="0" borderId="41" xfId="0" applyFont="1" applyBorder="1" applyAlignment="1">
      <alignment horizontal="left" vertical="center" wrapText="1"/>
    </xf>
    <xf numFmtId="0" fontId="43" fillId="0" borderId="0" xfId="0" applyFont="1" applyBorder="1" applyAlignment="1">
      <alignment horizontal="center"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6" fillId="0" borderId="9" xfId="0" applyFont="1" applyFill="1" applyBorder="1" applyAlignment="1" applyProtection="1">
      <alignment horizontal="center" vertical="center" wrapText="1"/>
    </xf>
    <xf numFmtId="177" fontId="10" fillId="0" borderId="9" xfId="0" applyNumberFormat="1" applyFont="1" applyFill="1" applyBorder="1" applyAlignment="1">
      <alignment horizontal="center" vertical="center" wrapText="1"/>
    </xf>
    <xf numFmtId="176" fontId="10" fillId="10" borderId="9" xfId="0" applyNumberFormat="1"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177" fontId="13" fillId="0" borderId="9" xfId="0" applyNumberFormat="1" applyFont="1" applyFill="1" applyBorder="1" applyAlignment="1">
      <alignment horizontal="center" vertical="center" wrapText="1"/>
    </xf>
    <xf numFmtId="0" fontId="4" fillId="0" borderId="47" xfId="1" applyFont="1" applyBorder="1" applyAlignment="1" applyProtection="1">
      <alignment horizontal="center" vertical="center"/>
    </xf>
    <xf numFmtId="176" fontId="11" fillId="0" borderId="44" xfId="0" applyNumberFormat="1" applyFont="1" applyBorder="1" applyAlignment="1" applyProtection="1">
      <alignment horizontal="left" vertical="center" wrapText="1"/>
    </xf>
    <xf numFmtId="176" fontId="11" fillId="0" borderId="45" xfId="0" applyNumberFormat="1" applyFont="1" applyBorder="1" applyAlignment="1" applyProtection="1">
      <alignment horizontal="left" vertical="center" wrapText="1"/>
    </xf>
    <xf numFmtId="176" fontId="11" fillId="0" borderId="46" xfId="0" applyNumberFormat="1" applyFont="1" applyBorder="1" applyAlignment="1" applyProtection="1">
      <alignment horizontal="left" vertical="center" wrapText="1"/>
    </xf>
    <xf numFmtId="0" fontId="4" fillId="0" borderId="33" xfId="0" applyFont="1" applyBorder="1" applyAlignment="1">
      <alignment horizontal="center" vertical="center" wrapText="1"/>
    </xf>
    <xf numFmtId="0" fontId="20" fillId="4" borderId="44" xfId="0" applyFont="1" applyFill="1" applyBorder="1" applyAlignment="1">
      <alignment horizontal="left" vertical="center" wrapText="1"/>
    </xf>
    <xf numFmtId="0" fontId="20" fillId="4" borderId="45" xfId="0" applyFont="1" applyFill="1" applyBorder="1" applyAlignment="1">
      <alignment horizontal="left" vertical="center"/>
    </xf>
    <xf numFmtId="0" fontId="92" fillId="0" borderId="0" xfId="23" applyFont="1" applyBorder="1" applyAlignment="1">
      <alignment horizontal="center" vertical="center"/>
    </xf>
    <xf numFmtId="0" fontId="75" fillId="0" borderId="0" xfId="23" applyFont="1" applyBorder="1" applyAlignment="1">
      <alignment horizontal="left" vertical="center" wrapText="1"/>
    </xf>
    <xf numFmtId="0" fontId="75" fillId="0" borderId="0" xfId="23" applyFont="1" applyBorder="1" applyAlignment="1">
      <alignment horizontal="left" vertical="center"/>
    </xf>
    <xf numFmtId="0" fontId="75" fillId="6" borderId="9" xfId="24" applyFont="1" applyFill="1" applyBorder="1" applyAlignment="1">
      <alignment horizontal="center" vertical="center" wrapText="1"/>
    </xf>
    <xf numFmtId="176" fontId="75" fillId="6" borderId="9" xfId="24" applyNumberFormat="1" applyFont="1" applyFill="1" applyBorder="1" applyAlignment="1">
      <alignment horizontal="center" vertical="center" wrapText="1"/>
    </xf>
    <xf numFmtId="0" fontId="75" fillId="6" borderId="13" xfId="24" applyFont="1" applyFill="1" applyBorder="1" applyAlignment="1">
      <alignment horizontal="center" vertical="center" wrapText="1"/>
    </xf>
    <xf numFmtId="0" fontId="75" fillId="6" borderId="6" xfId="24" applyFont="1" applyFill="1" applyBorder="1" applyAlignment="1">
      <alignment horizontal="center" vertical="center" wrapText="1"/>
    </xf>
    <xf numFmtId="178" fontId="82" fillId="3" borderId="13" xfId="24" applyNumberFormat="1" applyFont="1" applyFill="1" applyBorder="1" applyAlignment="1" applyProtection="1">
      <alignment horizontal="center" vertical="center" wrapText="1"/>
      <protection locked="0"/>
    </xf>
    <xf numFmtId="178" fontId="82" fillId="3" borderId="14" xfId="24" applyNumberFormat="1" applyFont="1" applyFill="1" applyBorder="1" applyAlignment="1" applyProtection="1">
      <alignment horizontal="center" vertical="center" wrapText="1"/>
      <protection locked="0"/>
    </xf>
    <xf numFmtId="178" fontId="82" fillId="3" borderId="6" xfId="24" applyNumberFormat="1" applyFont="1" applyFill="1" applyBorder="1" applyAlignment="1" applyProtection="1">
      <alignment horizontal="center" vertical="center" wrapText="1"/>
      <protection locked="0"/>
    </xf>
    <xf numFmtId="0" fontId="67" fillId="0" borderId="13" xfId="24" applyFont="1" applyBorder="1" applyAlignment="1">
      <alignment horizontal="left" vertical="center" wrapText="1"/>
    </xf>
    <xf numFmtId="0" fontId="67" fillId="0" borderId="14" xfId="24" applyFont="1" applyBorder="1" applyAlignment="1">
      <alignment horizontal="left" vertical="center"/>
    </xf>
    <xf numFmtId="0" fontId="67" fillId="0" borderId="6" xfId="24" applyFont="1" applyBorder="1" applyAlignment="1">
      <alignment horizontal="left" vertical="center"/>
    </xf>
    <xf numFmtId="0" fontId="67" fillId="0" borderId="13" xfId="24" applyFont="1" applyBorder="1" applyAlignment="1">
      <alignment horizontal="center" vertical="center" wrapText="1"/>
    </xf>
    <xf numFmtId="0" fontId="67" fillId="0" borderId="14" xfId="24" applyFont="1" applyBorder="1" applyAlignment="1">
      <alignment horizontal="center" vertical="center" wrapText="1"/>
    </xf>
    <xf numFmtId="0" fontId="67" fillId="0" borderId="6" xfId="24" applyFont="1" applyBorder="1" applyAlignment="1">
      <alignment horizontal="center" vertical="center" wrapText="1"/>
    </xf>
    <xf numFmtId="176" fontId="75" fillId="13" borderId="13" xfId="23" applyNumberFormat="1" applyFont="1" applyFill="1" applyBorder="1" applyAlignment="1" applyProtection="1">
      <alignment horizontal="center" vertical="center" wrapText="1"/>
      <protection locked="0"/>
    </xf>
    <xf numFmtId="176" fontId="75" fillId="13" borderId="14" xfId="23" applyNumberFormat="1" applyFont="1" applyFill="1" applyBorder="1" applyAlignment="1" applyProtection="1">
      <alignment horizontal="center" vertical="center" wrapText="1"/>
      <protection locked="0"/>
    </xf>
    <xf numFmtId="176" fontId="75" fillId="13" borderId="6" xfId="23" applyNumberFormat="1" applyFont="1" applyFill="1" applyBorder="1" applyAlignment="1" applyProtection="1">
      <alignment horizontal="center" vertical="center" wrapText="1"/>
      <protection locked="0"/>
    </xf>
    <xf numFmtId="0" fontId="67" fillId="0" borderId="9" xfId="24" applyFont="1" applyBorder="1" applyAlignment="1">
      <alignment horizontal="center" vertical="center" wrapText="1"/>
    </xf>
    <xf numFmtId="0" fontId="75" fillId="20" borderId="25" xfId="24" applyFont="1" applyFill="1" applyBorder="1" applyAlignment="1">
      <alignment horizontal="center" vertical="center" wrapText="1"/>
    </xf>
    <xf numFmtId="0" fontId="75" fillId="20" borderId="61" xfId="24" applyFont="1" applyFill="1" applyBorder="1" applyAlignment="1">
      <alignment horizontal="center" vertical="center" wrapText="1"/>
    </xf>
    <xf numFmtId="0" fontId="75" fillId="20" borderId="27" xfId="24" applyFont="1" applyFill="1" applyBorder="1" applyAlignment="1">
      <alignment horizontal="center" vertical="center" wrapText="1"/>
    </xf>
    <xf numFmtId="178" fontId="75" fillId="4" borderId="13" xfId="23" applyNumberFormat="1" applyFont="1" applyFill="1" applyBorder="1" applyAlignment="1" applyProtection="1">
      <alignment horizontal="center" vertical="center" wrapText="1"/>
      <protection locked="0"/>
    </xf>
    <xf numFmtId="178" fontId="75" fillId="4" borderId="14" xfId="23" applyNumberFormat="1" applyFont="1" applyFill="1" applyBorder="1" applyAlignment="1" applyProtection="1">
      <alignment horizontal="center" vertical="center" wrapText="1"/>
      <protection locked="0"/>
    </xf>
    <xf numFmtId="0" fontId="67" fillId="4" borderId="9" xfId="24" applyFont="1" applyFill="1" applyBorder="1" applyAlignment="1">
      <alignment horizontal="center" vertical="center"/>
    </xf>
    <xf numFmtId="0" fontId="52" fillId="0" borderId="69" xfId="24" applyFont="1" applyBorder="1" applyAlignment="1">
      <alignment horizontal="center" vertical="center"/>
    </xf>
    <xf numFmtId="0" fontId="67" fillId="11" borderId="25" xfId="24" applyFont="1" applyFill="1" applyBorder="1" applyAlignment="1">
      <alignment horizontal="left" wrapText="1"/>
    </xf>
    <xf numFmtId="0" fontId="67" fillId="11" borderId="61" xfId="24" applyFont="1" applyFill="1" applyBorder="1" applyAlignment="1">
      <alignment horizontal="left" wrapText="1"/>
    </xf>
    <xf numFmtId="0" fontId="67" fillId="11" borderId="27" xfId="24" applyFont="1" applyFill="1" applyBorder="1" applyAlignment="1">
      <alignment horizontal="left" wrapText="1"/>
    </xf>
    <xf numFmtId="0" fontId="75" fillId="6" borderId="49" xfId="24" applyFont="1" applyFill="1" applyBorder="1" applyAlignment="1">
      <alignment horizontal="center" vertical="center" wrapText="1"/>
    </xf>
    <xf numFmtId="0" fontId="75" fillId="6" borderId="59" xfId="24" applyFont="1" applyFill="1" applyBorder="1" applyAlignment="1">
      <alignment horizontal="center" vertical="center" wrapText="1"/>
    </xf>
    <xf numFmtId="0" fontId="75" fillId="6" borderId="52" xfId="24" applyFont="1" applyFill="1" applyBorder="1" applyAlignment="1">
      <alignment horizontal="center" vertical="center" wrapText="1"/>
    </xf>
    <xf numFmtId="0" fontId="75" fillId="6" borderId="48" xfId="24" applyFont="1" applyFill="1" applyBorder="1" applyAlignment="1">
      <alignment horizontal="center" vertical="center" wrapText="1"/>
    </xf>
    <xf numFmtId="0" fontId="75" fillId="6" borderId="69" xfId="24" applyFont="1" applyFill="1" applyBorder="1" applyAlignment="1">
      <alignment horizontal="center" vertical="center" wrapText="1"/>
    </xf>
    <xf numFmtId="0" fontId="75" fillId="6" borderId="53" xfId="24" applyFont="1" applyFill="1" applyBorder="1" applyAlignment="1">
      <alignment horizontal="center" vertical="center" wrapText="1"/>
    </xf>
    <xf numFmtId="184" fontId="75" fillId="6" borderId="9" xfId="24" applyNumberFormat="1" applyFont="1" applyFill="1" applyBorder="1" applyAlignment="1">
      <alignment horizontal="center" vertical="center" wrapText="1"/>
    </xf>
    <xf numFmtId="0" fontId="80" fillId="0" borderId="49" xfId="23" applyFont="1" applyBorder="1" applyAlignment="1">
      <alignment horizontal="center" vertical="center" wrapText="1"/>
    </xf>
    <xf numFmtId="0" fontId="80" fillId="0" borderId="52" xfId="23" applyFont="1" applyBorder="1" applyAlignment="1">
      <alignment horizontal="center" vertical="center" wrapText="1"/>
    </xf>
    <xf numFmtId="0" fontId="80" fillId="0" borderId="17" xfId="23" applyFont="1" applyBorder="1" applyAlignment="1">
      <alignment horizontal="center" vertical="center" wrapText="1"/>
    </xf>
    <xf numFmtId="0" fontId="80" fillId="0" borderId="26" xfId="23" applyFont="1" applyBorder="1" applyAlignment="1">
      <alignment horizontal="center" vertical="center" wrapText="1"/>
    </xf>
    <xf numFmtId="0" fontId="80" fillId="0" borderId="48" xfId="23" applyFont="1" applyBorder="1" applyAlignment="1">
      <alignment horizontal="center" vertical="center" wrapText="1"/>
    </xf>
    <xf numFmtId="0" fontId="80" fillId="0" borderId="53" xfId="23" applyFont="1" applyBorder="1" applyAlignment="1">
      <alignment horizontal="center" vertical="center" wrapText="1"/>
    </xf>
    <xf numFmtId="0" fontId="99" fillId="0" borderId="9" xfId="23" applyFont="1" applyBorder="1" applyAlignment="1">
      <alignment horizontal="center" vertical="center" wrapText="1"/>
    </xf>
    <xf numFmtId="0" fontId="91" fillId="0" borderId="9" xfId="23" applyBorder="1" applyAlignment="1">
      <alignment horizontal="center" vertical="center" wrapText="1"/>
    </xf>
    <xf numFmtId="0" fontId="80" fillId="0" borderId="49" xfId="23" applyFont="1" applyBorder="1" applyAlignment="1">
      <alignment horizontal="center" vertical="center"/>
    </xf>
    <xf numFmtId="0" fontId="80" fillId="0" borderId="52" xfId="23" applyFont="1" applyBorder="1" applyAlignment="1">
      <alignment horizontal="center" vertical="center"/>
    </xf>
    <xf numFmtId="0" fontId="80" fillId="0" borderId="17" xfId="23" applyFont="1" applyBorder="1" applyAlignment="1">
      <alignment horizontal="center" vertical="center"/>
    </xf>
    <xf numFmtId="0" fontId="80" fillId="0" borderId="26" xfId="23" applyFont="1" applyBorder="1" applyAlignment="1">
      <alignment horizontal="center" vertical="center"/>
    </xf>
    <xf numFmtId="0" fontId="80" fillId="0" borderId="48" xfId="23" applyFont="1" applyBorder="1" applyAlignment="1">
      <alignment horizontal="center" vertical="center"/>
    </xf>
    <xf numFmtId="0" fontId="80" fillId="0" borderId="53" xfId="23" applyFont="1" applyBorder="1" applyAlignment="1">
      <alignment horizontal="center" vertical="center"/>
    </xf>
    <xf numFmtId="0" fontId="80" fillId="0" borderId="9" xfId="23" applyFont="1" applyBorder="1" applyAlignment="1">
      <alignment horizontal="center" vertical="center" textRotation="255"/>
    </xf>
    <xf numFmtId="0" fontId="67" fillId="4" borderId="9" xfId="24" applyFont="1" applyFill="1" applyBorder="1" applyAlignment="1">
      <alignment horizontal="center" vertical="center" wrapText="1"/>
    </xf>
    <xf numFmtId="0" fontId="64" fillId="4" borderId="9" xfId="23" applyFont="1" applyFill="1" applyBorder="1" applyAlignment="1">
      <alignment horizontal="center" vertical="center" wrapText="1"/>
    </xf>
    <xf numFmtId="0" fontId="98" fillId="4" borderId="9" xfId="23" applyFont="1" applyFill="1" applyBorder="1" applyAlignment="1">
      <alignment horizontal="center" vertical="center" wrapText="1" readingOrder="1"/>
    </xf>
    <xf numFmtId="0" fontId="67" fillId="4" borderId="13" xfId="24" applyFont="1" applyFill="1" applyBorder="1" applyAlignment="1">
      <alignment horizontal="center" vertical="center"/>
    </xf>
    <xf numFmtId="0" fontId="67" fillId="4" borderId="14" xfId="24" applyFont="1" applyFill="1" applyBorder="1" applyAlignment="1">
      <alignment horizontal="center" vertical="center"/>
    </xf>
    <xf numFmtId="0" fontId="67" fillId="4" borderId="6" xfId="24" applyFont="1" applyFill="1" applyBorder="1" applyAlignment="1">
      <alignment horizontal="center" vertical="center"/>
    </xf>
    <xf numFmtId="0" fontId="80" fillId="0" borderId="13" xfId="23" applyFont="1" applyBorder="1" applyAlignment="1">
      <alignment horizontal="center" vertical="center" textRotation="255"/>
    </xf>
    <xf numFmtId="0" fontId="80" fillId="0" borderId="14" xfId="23" applyFont="1" applyBorder="1" applyAlignment="1">
      <alignment horizontal="center" vertical="center" textRotation="255"/>
    </xf>
    <xf numFmtId="0" fontId="80" fillId="0" borderId="6" xfId="23" applyFont="1" applyBorder="1" applyAlignment="1">
      <alignment horizontal="center" vertical="center" textRotation="255"/>
    </xf>
    <xf numFmtId="0" fontId="67" fillId="4" borderId="9" xfId="23" applyFont="1" applyFill="1" applyBorder="1" applyAlignment="1">
      <alignment horizontal="center" vertical="center" wrapText="1"/>
    </xf>
    <xf numFmtId="0" fontId="64" fillId="0" borderId="9" xfId="23" applyFont="1" applyBorder="1" applyAlignment="1">
      <alignment horizontal="center" vertical="center" wrapText="1"/>
    </xf>
    <xf numFmtId="0" fontId="64" fillId="0" borderId="13" xfId="23" applyFont="1" applyBorder="1" applyAlignment="1">
      <alignment horizontal="center" vertical="center" wrapText="1"/>
    </xf>
    <xf numFmtId="0" fontId="64" fillId="0" borderId="6" xfId="23" applyFont="1" applyBorder="1" applyAlignment="1">
      <alignment horizontal="center" vertical="center" wrapText="1"/>
    </xf>
    <xf numFmtId="0" fontId="67" fillId="4" borderId="9" xfId="26" applyFont="1" applyFill="1" applyBorder="1" applyAlignment="1">
      <alignment horizontal="center" vertical="center" wrapText="1"/>
    </xf>
    <xf numFmtId="0" fontId="99" fillId="0" borderId="13" xfId="23" applyFont="1" applyBorder="1" applyAlignment="1">
      <alignment horizontal="center" vertical="center" wrapText="1"/>
    </xf>
    <xf numFmtId="0" fontId="99" fillId="0" borderId="6" xfId="23" applyFont="1" applyBorder="1" applyAlignment="1">
      <alignment horizontal="center" vertical="center" wrapText="1"/>
    </xf>
    <xf numFmtId="0" fontId="99" fillId="0" borderId="14" xfId="23" applyFont="1" applyBorder="1" applyAlignment="1">
      <alignment horizontal="center" vertical="center" wrapText="1"/>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xf>
    <xf numFmtId="0" fontId="16" fillId="3" borderId="9" xfId="0" applyFont="1" applyFill="1" applyBorder="1" applyAlignment="1" applyProtection="1">
      <alignment horizontal="center" vertical="center" wrapText="1"/>
    </xf>
    <xf numFmtId="0" fontId="16" fillId="0" borderId="49" xfId="0" applyFont="1" applyFill="1" applyBorder="1" applyAlignment="1" applyProtection="1">
      <alignment horizontal="left" vertical="center" wrapText="1"/>
    </xf>
    <xf numFmtId="0" fontId="16" fillId="0" borderId="59" xfId="0" applyFont="1" applyFill="1" applyBorder="1" applyAlignment="1" applyProtection="1">
      <alignment horizontal="left" vertical="center" wrapText="1"/>
    </xf>
    <xf numFmtId="0" fontId="16" fillId="0" borderId="52" xfId="0" applyFont="1" applyFill="1" applyBorder="1" applyAlignment="1" applyProtection="1">
      <alignment horizontal="left" vertical="center" wrapText="1"/>
    </xf>
    <xf numFmtId="0" fontId="16" fillId="0" borderId="17"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48" xfId="0" applyFont="1" applyFill="1" applyBorder="1" applyAlignment="1" applyProtection="1">
      <alignment horizontal="left" vertical="center" wrapText="1"/>
    </xf>
    <xf numFmtId="0" fontId="16" fillId="0" borderId="69" xfId="0" applyFont="1" applyFill="1" applyBorder="1" applyAlignment="1" applyProtection="1">
      <alignment horizontal="left" vertical="center" wrapText="1"/>
    </xf>
    <xf numFmtId="0" fontId="16" fillId="0" borderId="53" xfId="0" applyFont="1" applyFill="1" applyBorder="1" applyAlignment="1" applyProtection="1">
      <alignment horizontal="left" vertical="center" wrapText="1"/>
    </xf>
    <xf numFmtId="0" fontId="16" fillId="0" borderId="25"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44" xfId="0" applyFont="1" applyFill="1" applyBorder="1" applyAlignment="1">
      <alignment horizontal="center" vertical="center"/>
    </xf>
    <xf numFmtId="0" fontId="16" fillId="0" borderId="46" xfId="0" applyFont="1" applyFill="1" applyBorder="1" applyAlignment="1">
      <alignment horizontal="center" vertical="center"/>
    </xf>
    <xf numFmtId="0" fontId="10" fillId="0" borderId="36" xfId="0" applyFont="1" applyFill="1" applyBorder="1" applyAlignment="1">
      <alignment horizontal="center" vertical="center" wrapText="1"/>
    </xf>
    <xf numFmtId="0" fontId="10" fillId="0" borderId="30" xfId="0" applyFont="1" applyFill="1" applyBorder="1" applyAlignment="1">
      <alignment horizontal="center" vertical="center" wrapText="1"/>
    </xf>
    <xf numFmtId="187" fontId="16" fillId="0" borderId="25" xfId="0" applyNumberFormat="1"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0" fillId="0" borderId="3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0" xfId="0" applyFont="1" applyFill="1" applyBorder="1" applyAlignment="1">
      <alignment horizontal="center" vertical="center"/>
    </xf>
    <xf numFmtId="188" fontId="16" fillId="0" borderId="75" xfId="12" applyNumberFormat="1" applyFont="1" applyFill="1" applyBorder="1" applyAlignment="1">
      <alignment horizontal="left" vertical="center" wrapText="1"/>
    </xf>
    <xf numFmtId="188" fontId="16" fillId="0" borderId="55" xfId="12" applyNumberFormat="1" applyFont="1" applyFill="1" applyBorder="1" applyAlignment="1">
      <alignment horizontal="left" vertical="center" wrapText="1"/>
    </xf>
    <xf numFmtId="188" fontId="16" fillId="0" borderId="56" xfId="12" applyNumberFormat="1" applyFont="1" applyFill="1" applyBorder="1" applyAlignment="1">
      <alignment horizontal="left" vertical="center" wrapText="1"/>
    </xf>
    <xf numFmtId="188" fontId="16" fillId="0" borderId="47" xfId="12" applyNumberFormat="1" applyFont="1" applyFill="1" applyBorder="1" applyAlignment="1">
      <alignment horizontal="left" vertical="center" wrapText="1"/>
    </xf>
    <xf numFmtId="0" fontId="16" fillId="0" borderId="58" xfId="0" applyFont="1" applyFill="1" applyBorder="1" applyAlignment="1">
      <alignment horizontal="left" vertical="center"/>
    </xf>
    <xf numFmtId="0" fontId="16" fillId="0" borderId="76" xfId="0" applyFont="1" applyFill="1" applyBorder="1" applyAlignment="1">
      <alignment horizontal="left" vertical="center"/>
    </xf>
    <xf numFmtId="0" fontId="16" fillId="0" borderId="25"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25" xfId="0" applyFont="1" applyFill="1" applyBorder="1" applyAlignment="1">
      <alignment horizontal="left" vertical="center"/>
    </xf>
    <xf numFmtId="0" fontId="16" fillId="0" borderId="43" xfId="0" applyFont="1" applyFill="1" applyBorder="1" applyAlignment="1">
      <alignment horizontal="left" vertical="center"/>
    </xf>
    <xf numFmtId="0" fontId="16" fillId="3" borderId="9" xfId="0" applyFont="1" applyFill="1" applyBorder="1" applyAlignment="1">
      <alignment horizontal="center" vertical="center"/>
    </xf>
    <xf numFmtId="0" fontId="16" fillId="4" borderId="49" xfId="0" applyFont="1" applyFill="1" applyBorder="1" applyAlignment="1">
      <alignment horizontal="left" vertical="center" wrapText="1"/>
    </xf>
    <xf numFmtId="0" fontId="16" fillId="4" borderId="59" xfId="0" applyFont="1" applyFill="1" applyBorder="1" applyAlignment="1">
      <alignment horizontal="left" vertical="center" wrapText="1"/>
    </xf>
    <xf numFmtId="0" fontId="16" fillId="4" borderId="52"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4" borderId="48" xfId="0" applyFont="1" applyFill="1" applyBorder="1" applyAlignment="1">
      <alignment horizontal="left" vertical="center" wrapText="1"/>
    </xf>
    <xf numFmtId="0" fontId="16" fillId="4" borderId="69" xfId="0" applyFont="1" applyFill="1" applyBorder="1" applyAlignment="1">
      <alignment horizontal="left" vertical="center" wrapText="1"/>
    </xf>
    <xf numFmtId="0" fontId="16" fillId="4" borderId="53" xfId="0" applyFont="1" applyFill="1" applyBorder="1" applyAlignment="1">
      <alignment horizontal="left" vertical="center" wrapText="1"/>
    </xf>
    <xf numFmtId="0" fontId="16" fillId="0" borderId="49" xfId="0" applyFont="1" applyFill="1" applyBorder="1" applyAlignment="1">
      <alignment horizontal="left" vertical="center"/>
    </xf>
    <xf numFmtId="0" fontId="16" fillId="0" borderId="60"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33" xfId="0" applyFont="1" applyFill="1" applyBorder="1" applyAlignment="1">
      <alignment horizontal="left" vertical="center"/>
    </xf>
    <xf numFmtId="0" fontId="16" fillId="0" borderId="48" xfId="0" applyFont="1" applyFill="1" applyBorder="1" applyAlignment="1">
      <alignment horizontal="left" vertical="center"/>
    </xf>
    <xf numFmtId="0" fontId="16" fillId="0" borderId="42" xfId="0" applyFont="1" applyFill="1" applyBorder="1" applyAlignment="1">
      <alignment horizontal="left" vertical="center"/>
    </xf>
    <xf numFmtId="0" fontId="16" fillId="4" borderId="25" xfId="0" applyFont="1" applyFill="1" applyBorder="1" applyAlignment="1">
      <alignment horizontal="center" vertical="center"/>
    </xf>
    <xf numFmtId="0" fontId="16" fillId="4" borderId="61" xfId="0" applyFont="1" applyFill="1" applyBorder="1" applyAlignment="1">
      <alignment horizontal="center" vertical="center"/>
    </xf>
    <xf numFmtId="0" fontId="16" fillId="4" borderId="27" xfId="0" applyFont="1" applyFill="1" applyBorder="1" applyAlignment="1">
      <alignment horizontal="center" vertical="center"/>
    </xf>
    <xf numFmtId="0" fontId="16" fillId="4" borderId="43" xfId="0" applyFont="1" applyFill="1" applyBorder="1" applyAlignment="1">
      <alignment horizontal="center" vertical="center"/>
    </xf>
    <xf numFmtId="0" fontId="73" fillId="7" borderId="40" xfId="0" applyFont="1" applyFill="1" applyBorder="1" applyAlignment="1">
      <alignment horizontal="center" vertical="center" wrapText="1"/>
    </xf>
    <xf numFmtId="0" fontId="73" fillId="7" borderId="34" xfId="0" applyFont="1" applyFill="1" applyBorder="1" applyAlignment="1">
      <alignment horizontal="center" vertical="center" wrapText="1"/>
    </xf>
    <xf numFmtId="0" fontId="16" fillId="6" borderId="34" xfId="0" applyFont="1" applyFill="1" applyBorder="1" applyAlignment="1">
      <alignment horizontal="center" vertical="center"/>
    </xf>
    <xf numFmtId="0" fontId="10" fillId="6" borderId="44" xfId="0" applyFont="1" applyFill="1" applyBorder="1" applyAlignment="1">
      <alignment horizontal="center" vertical="center"/>
    </xf>
    <xf numFmtId="0" fontId="10" fillId="6" borderId="45" xfId="0" applyFont="1" applyFill="1" applyBorder="1" applyAlignment="1">
      <alignment horizontal="center" vertical="center"/>
    </xf>
    <xf numFmtId="0" fontId="10" fillId="6" borderId="70" xfId="0" applyFont="1" applyFill="1" applyBorder="1" applyAlignment="1">
      <alignment horizontal="center" vertical="center"/>
    </xf>
    <xf numFmtId="0" fontId="16" fillId="0" borderId="44"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6"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9" xfId="0" applyFont="1" applyFill="1" applyBorder="1" applyAlignment="1">
      <alignment horizontal="left" vertical="center"/>
    </xf>
    <xf numFmtId="0" fontId="10" fillId="0" borderId="51"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25" xfId="0" applyFont="1" applyFill="1" applyBorder="1" applyAlignment="1">
      <alignment horizontal="left" vertical="center"/>
    </xf>
    <xf numFmtId="0" fontId="11" fillId="0" borderId="27" xfId="0" applyFont="1" applyFill="1" applyBorder="1" applyAlignment="1">
      <alignment horizontal="left" vertical="center"/>
    </xf>
    <xf numFmtId="0" fontId="16" fillId="4" borderId="49"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16" fillId="4" borderId="52"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0" fillId="0" borderId="59"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1" fillId="0" borderId="49" xfId="0" applyFont="1" applyFill="1" applyBorder="1" applyAlignment="1">
      <alignment horizontal="left" vertical="center"/>
    </xf>
    <xf numFmtId="0" fontId="11" fillId="0" borderId="52" xfId="0" applyFont="1" applyFill="1" applyBorder="1" applyAlignment="1">
      <alignment horizontal="left" vertical="center"/>
    </xf>
    <xf numFmtId="0" fontId="16" fillId="4" borderId="49" xfId="0" applyFont="1" applyFill="1" applyBorder="1" applyAlignment="1">
      <alignment horizontal="center" vertical="center"/>
    </xf>
    <xf numFmtId="0" fontId="16" fillId="4" borderId="59" xfId="0" applyFont="1" applyFill="1" applyBorder="1" applyAlignment="1">
      <alignment horizontal="center" vertical="center"/>
    </xf>
    <xf numFmtId="0" fontId="16" fillId="4" borderId="52" xfId="0" applyFont="1" applyFill="1" applyBorder="1" applyAlignment="1">
      <alignment horizontal="center" vertical="center"/>
    </xf>
    <xf numFmtId="0" fontId="16" fillId="0" borderId="25" xfId="0" applyFont="1" applyFill="1" applyBorder="1" applyAlignment="1" applyProtection="1">
      <alignment horizontal="center" vertical="center" wrapText="1"/>
    </xf>
    <xf numFmtId="0" fontId="16" fillId="0" borderId="61" xfId="0" applyFont="1" applyFill="1" applyBorder="1" applyAlignment="1" applyProtection="1">
      <alignment horizontal="center" vertical="center" wrapText="1"/>
    </xf>
    <xf numFmtId="0" fontId="16" fillId="0" borderId="27" xfId="0" applyFont="1" applyFill="1" applyBorder="1" applyAlignment="1" applyProtection="1">
      <alignment horizontal="center" vertical="center" wrapText="1"/>
    </xf>
    <xf numFmtId="0" fontId="11" fillId="0" borderId="9" xfId="0" applyFont="1" applyFill="1" applyBorder="1" applyAlignment="1">
      <alignment vertical="center" wrapText="1"/>
    </xf>
    <xf numFmtId="0" fontId="16" fillId="4" borderId="25" xfId="0" applyFont="1" applyFill="1" applyBorder="1" applyAlignment="1" applyProtection="1">
      <alignment horizontal="center" vertical="center" wrapText="1"/>
    </xf>
    <xf numFmtId="0" fontId="16" fillId="4" borderId="61" xfId="0" applyFont="1" applyFill="1" applyBorder="1" applyAlignment="1" applyProtection="1">
      <alignment horizontal="center" vertical="center" wrapText="1"/>
    </xf>
    <xf numFmtId="0" fontId="16" fillId="4" borderId="27" xfId="0" applyFont="1" applyFill="1" applyBorder="1" applyAlignment="1" applyProtection="1">
      <alignment horizontal="center" vertical="center" wrapText="1"/>
    </xf>
    <xf numFmtId="0" fontId="16" fillId="0" borderId="49" xfId="0" applyFont="1" applyFill="1" applyBorder="1" applyAlignment="1" applyProtection="1">
      <alignment horizontal="center" vertical="center" wrapText="1"/>
    </xf>
    <xf numFmtId="0" fontId="16" fillId="0" borderId="59" xfId="0" applyFont="1" applyFill="1" applyBorder="1" applyAlignment="1" applyProtection="1">
      <alignment horizontal="center" vertical="center" wrapText="1"/>
    </xf>
    <xf numFmtId="0" fontId="16" fillId="0" borderId="52"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0" fontId="16" fillId="0" borderId="48" xfId="0" applyFont="1" applyFill="1" applyBorder="1" applyAlignment="1" applyProtection="1">
      <alignment horizontal="center" vertical="center" wrapText="1"/>
    </xf>
    <xf numFmtId="0" fontId="16" fillId="0" borderId="69" xfId="0" applyFont="1" applyFill="1" applyBorder="1" applyAlignment="1" applyProtection="1">
      <alignment horizontal="center" vertical="center" wrapText="1"/>
    </xf>
    <xf numFmtId="0" fontId="16" fillId="0" borderId="53" xfId="0" applyFont="1" applyFill="1" applyBorder="1" applyAlignment="1" applyProtection="1">
      <alignment horizontal="center" vertical="center" wrapText="1"/>
    </xf>
    <xf numFmtId="0" fontId="11" fillId="0" borderId="9" xfId="0" applyFont="1" applyFill="1" applyBorder="1" applyAlignment="1">
      <alignment horizontal="center" vertical="center" wrapText="1"/>
    </xf>
    <xf numFmtId="0" fontId="74" fillId="3"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74" fillId="4" borderId="49" xfId="0" applyFont="1" applyFill="1" applyBorder="1" applyAlignment="1">
      <alignment horizontal="center" vertical="center" wrapText="1"/>
    </xf>
    <xf numFmtId="0" fontId="74" fillId="4" borderId="59" xfId="0" applyFont="1" applyFill="1" applyBorder="1" applyAlignment="1">
      <alignment horizontal="center" vertical="center" wrapText="1"/>
    </xf>
    <xf numFmtId="0" fontId="74" fillId="4" borderId="52" xfId="0" applyFont="1" applyFill="1" applyBorder="1" applyAlignment="1">
      <alignment horizontal="center" vertical="center" wrapText="1"/>
    </xf>
    <xf numFmtId="0" fontId="74" fillId="4" borderId="17" xfId="0" applyFont="1" applyFill="1" applyBorder="1" applyAlignment="1">
      <alignment horizontal="center" vertical="center" wrapText="1"/>
    </xf>
    <xf numFmtId="0" fontId="74" fillId="4" borderId="0" xfId="0" applyFont="1" applyFill="1" applyBorder="1" applyAlignment="1">
      <alignment horizontal="center" vertical="center" wrapText="1"/>
    </xf>
    <xf numFmtId="0" fontId="74" fillId="4" borderId="26" xfId="0" applyFont="1" applyFill="1" applyBorder="1" applyAlignment="1">
      <alignment horizontal="center" vertical="center" wrapText="1"/>
    </xf>
    <xf numFmtId="0" fontId="74" fillId="4" borderId="9" xfId="0" applyFont="1" applyFill="1" applyBorder="1" applyAlignment="1">
      <alignment horizontal="left" vertical="center" wrapText="1"/>
    </xf>
    <xf numFmtId="0" fontId="74" fillId="3" borderId="13" xfId="0" applyFont="1" applyFill="1" applyBorder="1" applyAlignment="1">
      <alignment horizontal="center" vertical="center" wrapText="1"/>
    </xf>
    <xf numFmtId="0" fontId="74" fillId="3" borderId="14" xfId="0" applyFont="1" applyFill="1" applyBorder="1" applyAlignment="1">
      <alignment horizontal="center" vertical="center" wrapText="1"/>
    </xf>
    <xf numFmtId="0" fontId="74" fillId="3" borderId="6" xfId="0" applyFont="1" applyFill="1" applyBorder="1" applyAlignment="1">
      <alignment horizontal="center" vertical="center" wrapText="1"/>
    </xf>
    <xf numFmtId="0" fontId="74" fillId="4" borderId="48" xfId="0" applyFont="1" applyFill="1" applyBorder="1" applyAlignment="1">
      <alignment horizontal="center" vertical="center" wrapText="1"/>
    </xf>
    <xf numFmtId="0" fontId="74" fillId="4" borderId="69" xfId="0" applyFont="1" applyFill="1" applyBorder="1" applyAlignment="1">
      <alignment horizontal="center" vertical="center" wrapText="1"/>
    </xf>
    <xf numFmtId="0" fontId="74" fillId="4" borderId="53" xfId="0" applyFont="1" applyFill="1" applyBorder="1" applyAlignment="1">
      <alignment horizontal="center" vertical="center" wrapText="1"/>
    </xf>
    <xf numFmtId="0" fontId="16" fillId="19" borderId="49" xfId="0" applyFont="1" applyFill="1" applyBorder="1" applyAlignment="1">
      <alignment horizontal="left" vertical="center" wrapText="1"/>
    </xf>
    <xf numFmtId="0" fontId="16" fillId="19" borderId="60" xfId="0" applyFont="1" applyFill="1" applyBorder="1" applyAlignment="1">
      <alignment horizontal="left" vertical="center" wrapText="1"/>
    </xf>
    <xf numFmtId="0" fontId="16" fillId="19" borderId="48" xfId="0" applyFont="1" applyFill="1" applyBorder="1" applyAlignment="1">
      <alignment horizontal="left" vertical="center" wrapText="1"/>
    </xf>
    <xf numFmtId="0" fontId="16" fillId="19" borderId="42" xfId="0" applyFont="1" applyFill="1" applyBorder="1" applyAlignment="1">
      <alignment horizontal="left" vertical="center" wrapText="1"/>
    </xf>
    <xf numFmtId="0" fontId="16" fillId="0" borderId="9" xfId="0" applyFont="1" applyFill="1" applyBorder="1" applyAlignment="1">
      <alignment horizontal="center" vertical="center"/>
    </xf>
    <xf numFmtId="0" fontId="16" fillId="0" borderId="49" xfId="0" applyFont="1" applyFill="1" applyBorder="1" applyAlignment="1">
      <alignment horizontal="left" vertical="center" wrapText="1"/>
    </xf>
    <xf numFmtId="0" fontId="16" fillId="0" borderId="60" xfId="0" applyFont="1" applyFill="1" applyBorder="1" applyAlignment="1">
      <alignment horizontal="left" vertical="center" wrapText="1"/>
    </xf>
    <xf numFmtId="0" fontId="16" fillId="0" borderId="48" xfId="0" applyFont="1" applyFill="1" applyBorder="1" applyAlignment="1">
      <alignment horizontal="left" vertical="center" wrapText="1"/>
    </xf>
    <xf numFmtId="0" fontId="16" fillId="0" borderId="42" xfId="0" applyFont="1" applyFill="1" applyBorder="1" applyAlignment="1">
      <alignment horizontal="left" vertical="center" wrapText="1"/>
    </xf>
    <xf numFmtId="0" fontId="16" fillId="0" borderId="49"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27" fillId="18" borderId="40" xfId="8" applyFont="1" applyFill="1" applyBorder="1" applyAlignment="1" applyProtection="1">
      <alignment horizontal="center" vertical="center"/>
      <protection locked="0"/>
    </xf>
    <xf numFmtId="0" fontId="27" fillId="18" borderId="34" xfId="8" applyFont="1" applyFill="1" applyBorder="1" applyAlignment="1" applyProtection="1">
      <alignment horizontal="center" vertical="center"/>
      <protection locked="0"/>
    </xf>
    <xf numFmtId="0" fontId="39" fillId="0" borderId="0" xfId="8" applyFont="1" applyAlignment="1">
      <alignment horizontal="left" vertical="center"/>
    </xf>
    <xf numFmtId="0" fontId="73" fillId="7" borderId="22" xfId="0" applyFont="1" applyFill="1" applyBorder="1" applyAlignment="1">
      <alignment horizontal="center" vertical="center" wrapText="1"/>
    </xf>
    <xf numFmtId="0" fontId="73" fillId="7" borderId="23" xfId="0" applyFont="1" applyFill="1" applyBorder="1" applyAlignment="1">
      <alignment horizontal="center" vertical="center" wrapText="1"/>
    </xf>
    <xf numFmtId="0" fontId="73" fillId="7" borderId="58" xfId="0" applyFont="1" applyFill="1" applyBorder="1" applyAlignment="1">
      <alignment horizontal="center" vertical="center" wrapText="1"/>
    </xf>
    <xf numFmtId="0" fontId="73" fillId="7" borderId="67" xfId="0" applyFont="1" applyFill="1" applyBorder="1" applyAlignment="1">
      <alignment horizontal="center" vertical="center" wrapText="1"/>
    </xf>
    <xf numFmtId="0" fontId="73" fillId="7" borderId="68" xfId="0" applyFont="1" applyFill="1" applyBorder="1" applyAlignment="1">
      <alignment horizontal="center" vertical="center" wrapText="1"/>
    </xf>
    <xf numFmtId="0" fontId="12" fillId="0" borderId="13" xfId="9" applyFont="1" applyBorder="1" applyAlignment="1" applyProtection="1">
      <alignment horizontal="center" vertical="center"/>
      <protection locked="0"/>
    </xf>
    <xf numFmtId="0" fontId="12" fillId="0" borderId="14" xfId="9" applyFont="1" applyBorder="1" applyAlignment="1" applyProtection="1">
      <alignment horizontal="center" vertical="center"/>
      <protection locked="0"/>
    </xf>
    <xf numFmtId="0" fontId="12" fillId="0" borderId="6" xfId="9" applyFont="1" applyBorder="1" applyAlignment="1" applyProtection="1">
      <alignment horizontal="center" vertical="center"/>
      <protection locked="0"/>
    </xf>
    <xf numFmtId="0" fontId="11" fillId="0" borderId="10" xfId="9" applyFont="1" applyFill="1" applyBorder="1" applyAlignment="1" applyProtection="1">
      <alignment horizontal="left" vertical="top" wrapText="1"/>
      <protection locked="0"/>
    </xf>
    <xf numFmtId="176" fontId="12" fillId="7" borderId="25" xfId="9" applyNumberFormat="1" applyFont="1" applyFill="1" applyBorder="1" applyAlignment="1" applyProtection="1">
      <alignment horizontal="center" vertical="center" wrapText="1"/>
      <protection locked="0"/>
    </xf>
    <xf numFmtId="176" fontId="12" fillId="7" borderId="27" xfId="9" applyNumberFormat="1" applyFont="1" applyFill="1" applyBorder="1" applyAlignment="1" applyProtection="1">
      <alignment horizontal="center" vertical="center" wrapText="1"/>
      <protection locked="0"/>
    </xf>
    <xf numFmtId="0" fontId="12" fillId="0" borderId="9" xfId="9" applyFont="1" applyBorder="1" applyAlignment="1" applyProtection="1">
      <alignment horizontal="center" vertical="center"/>
      <protection locked="0"/>
    </xf>
    <xf numFmtId="0" fontId="12" fillId="0" borderId="9" xfId="9" applyFont="1" applyBorder="1" applyAlignment="1" applyProtection="1">
      <alignment horizontal="center" vertical="center" wrapText="1"/>
      <protection locked="0"/>
    </xf>
    <xf numFmtId="0" fontId="39" fillId="0" borderId="11" xfId="8" applyFont="1" applyBorder="1" applyAlignment="1" applyProtection="1">
      <alignment horizontal="center" vertical="center"/>
      <protection locked="0"/>
    </xf>
    <xf numFmtId="0" fontId="39" fillId="0" borderId="12" xfId="8" applyFont="1" applyBorder="1" applyAlignment="1" applyProtection="1">
      <alignment horizontal="center" vertical="center"/>
      <protection locked="0"/>
    </xf>
    <xf numFmtId="0" fontId="39" fillId="0" borderId="5" xfId="8" applyFont="1" applyBorder="1" applyAlignment="1" applyProtection="1">
      <alignment horizontal="center" vertical="center"/>
      <protection locked="0"/>
    </xf>
    <xf numFmtId="0" fontId="11" fillId="4" borderId="10" xfId="9" applyFont="1" applyFill="1" applyBorder="1" applyAlignment="1" applyProtection="1">
      <alignment horizontal="left" vertical="top" wrapText="1"/>
      <protection locked="0"/>
    </xf>
    <xf numFmtId="0" fontId="12" fillId="4" borderId="13" xfId="9" applyFont="1" applyFill="1" applyBorder="1" applyAlignment="1" applyProtection="1">
      <alignment horizontal="center" vertical="center" wrapText="1"/>
      <protection locked="0"/>
    </xf>
    <xf numFmtId="0" fontId="12" fillId="4" borderId="14" xfId="9" applyFont="1" applyFill="1" applyBorder="1" applyAlignment="1" applyProtection="1">
      <alignment horizontal="center" vertical="center" wrapText="1"/>
      <protection locked="0"/>
    </xf>
    <xf numFmtId="0" fontId="12" fillId="4" borderId="6" xfId="9" applyFont="1" applyFill="1" applyBorder="1" applyAlignment="1" applyProtection="1">
      <alignment horizontal="center" vertical="center" wrapText="1"/>
      <protection locked="0"/>
    </xf>
    <xf numFmtId="0" fontId="12" fillId="0" borderId="13" xfId="9" applyFont="1" applyBorder="1" applyAlignment="1" applyProtection="1">
      <alignment horizontal="center" vertical="center" wrapText="1"/>
      <protection locked="0"/>
    </xf>
    <xf numFmtId="0" fontId="12" fillId="0" borderId="14" xfId="9" applyFont="1" applyBorder="1" applyAlignment="1" applyProtection="1">
      <alignment horizontal="center" vertical="center" wrapText="1"/>
      <protection locked="0"/>
    </xf>
    <xf numFmtId="0" fontId="12" fillId="0" borderId="6" xfId="9" applyFont="1" applyBorder="1" applyAlignment="1" applyProtection="1">
      <alignment horizontal="center" vertical="center" wrapText="1"/>
      <protection locked="0"/>
    </xf>
    <xf numFmtId="0" fontId="11" fillId="0" borderId="10" xfId="9" applyFont="1" applyBorder="1" applyAlignment="1" applyProtection="1">
      <alignment horizontal="left" vertical="top" wrapText="1"/>
      <protection locked="0"/>
    </xf>
    <xf numFmtId="0" fontId="7" fillId="0" borderId="9" xfId="9" applyFont="1" applyBorder="1" applyAlignment="1" applyProtection="1">
      <alignment vertical="center"/>
      <protection locked="0"/>
    </xf>
    <xf numFmtId="0" fontId="11" fillId="0" borderId="13" xfId="9" applyFont="1" applyFill="1" applyBorder="1" applyAlignment="1" applyProtection="1">
      <alignment horizontal="center" vertical="center"/>
    </xf>
    <xf numFmtId="0" fontId="11" fillId="0" borderId="14" xfId="9" applyFont="1" applyFill="1" applyBorder="1" applyAlignment="1" applyProtection="1">
      <alignment horizontal="center" vertical="center"/>
    </xf>
    <xf numFmtId="0" fontId="11" fillId="0" borderId="6" xfId="9" applyFont="1" applyFill="1" applyBorder="1" applyAlignment="1" applyProtection="1">
      <alignment horizontal="center" vertical="center"/>
    </xf>
    <xf numFmtId="0" fontId="12" fillId="0" borderId="8" xfId="9" applyFont="1" applyBorder="1" applyAlignment="1" applyProtection="1">
      <alignment horizontal="center" vertical="center"/>
      <protection locked="0"/>
    </xf>
    <xf numFmtId="0" fontId="12" fillId="6" borderId="9" xfId="9" applyFont="1" applyFill="1" applyBorder="1" applyAlignment="1" applyProtection="1">
      <alignment horizontal="center" vertical="center"/>
      <protection locked="0"/>
    </xf>
    <xf numFmtId="0" fontId="27" fillId="0" borderId="8" xfId="8" applyFont="1" applyBorder="1" applyAlignment="1" applyProtection="1">
      <alignment horizontal="center" vertical="center"/>
      <protection locked="0"/>
    </xf>
    <xf numFmtId="0" fontId="12" fillId="4" borderId="9" xfId="9" applyFont="1" applyFill="1" applyBorder="1" applyAlignment="1" applyProtection="1">
      <alignment horizontal="center" vertical="center"/>
      <protection locked="0"/>
    </xf>
    <xf numFmtId="0" fontId="10" fillId="7" borderId="9" xfId="8" applyFont="1" applyFill="1" applyBorder="1" applyAlignment="1" applyProtection="1">
      <alignment horizontal="center" vertical="center" wrapText="1"/>
      <protection locked="0"/>
    </xf>
    <xf numFmtId="0" fontId="76" fillId="0" borderId="0" xfId="8" applyFont="1" applyBorder="1" applyAlignment="1" applyProtection="1">
      <alignment horizontal="left" vertical="center"/>
      <protection locked="0"/>
    </xf>
    <xf numFmtId="0" fontId="76" fillId="0" borderId="62" xfId="8" applyFont="1" applyBorder="1" applyAlignment="1" applyProtection="1">
      <alignment horizontal="left" vertical="center"/>
      <protection locked="0"/>
    </xf>
    <xf numFmtId="0" fontId="16" fillId="0" borderId="1" xfId="8" applyFont="1" applyBorder="1" applyAlignment="1" applyProtection="1">
      <alignment horizontal="left" vertical="center" wrapText="1"/>
      <protection locked="0"/>
    </xf>
    <xf numFmtId="0" fontId="16" fillId="0" borderId="54" xfId="8" applyFont="1" applyBorder="1" applyAlignment="1" applyProtection="1">
      <alignment horizontal="left" vertical="center" wrapText="1"/>
      <protection locked="0"/>
    </xf>
    <xf numFmtId="0" fontId="16" fillId="0" borderId="55" xfId="8" applyFont="1" applyBorder="1" applyAlignment="1" applyProtection="1">
      <alignment horizontal="left" vertical="center" wrapText="1"/>
      <protection locked="0"/>
    </xf>
    <xf numFmtId="0" fontId="16" fillId="0" borderId="32" xfId="8" applyFont="1" applyBorder="1" applyAlignment="1" applyProtection="1">
      <alignment horizontal="left" vertical="center" wrapText="1"/>
      <protection locked="0"/>
    </xf>
    <xf numFmtId="0" fontId="16" fillId="0" borderId="0" xfId="8" applyFont="1" applyBorder="1" applyAlignment="1" applyProtection="1">
      <alignment horizontal="left" vertical="center" wrapText="1"/>
      <protection locked="0"/>
    </xf>
    <xf numFmtId="0" fontId="16" fillId="0" borderId="33" xfId="8" applyFont="1" applyBorder="1" applyAlignment="1" applyProtection="1">
      <alignment horizontal="left" vertical="center" wrapText="1"/>
      <protection locked="0"/>
    </xf>
    <xf numFmtId="0" fontId="10" fillId="7" borderId="22" xfId="8" applyFont="1" applyFill="1" applyBorder="1" applyAlignment="1" applyProtection="1">
      <alignment horizontal="center" vertical="center" wrapText="1"/>
      <protection locked="0"/>
    </xf>
    <xf numFmtId="0" fontId="10" fillId="7" borderId="8" xfId="8" applyFont="1" applyFill="1" applyBorder="1" applyAlignment="1" applyProtection="1">
      <alignment horizontal="center" vertical="center" wrapText="1"/>
      <protection locked="0"/>
    </xf>
    <xf numFmtId="0" fontId="10" fillId="7" borderId="23" xfId="8" applyFont="1" applyFill="1" applyBorder="1" applyAlignment="1" applyProtection="1">
      <alignment horizontal="center" vertical="center" wrapText="1"/>
      <protection locked="0"/>
    </xf>
    <xf numFmtId="0" fontId="10" fillId="7" borderId="23" xfId="8" applyFont="1" applyFill="1" applyBorder="1" applyAlignment="1" applyProtection="1">
      <alignment horizontal="center" vertical="center" wrapText="1"/>
    </xf>
    <xf numFmtId="0" fontId="10" fillId="6" borderId="23" xfId="8" applyFont="1" applyFill="1" applyBorder="1" applyAlignment="1" applyProtection="1">
      <alignment horizontal="center" vertical="center" wrapText="1"/>
      <protection locked="0"/>
    </xf>
    <xf numFmtId="0" fontId="10" fillId="6" borderId="9" xfId="8" applyFont="1" applyFill="1" applyBorder="1" applyAlignment="1" applyProtection="1">
      <alignment horizontal="center" vertical="center" wrapText="1"/>
      <protection locked="0"/>
    </xf>
    <xf numFmtId="0" fontId="10" fillId="7" borderId="24" xfId="8" applyFont="1" applyFill="1" applyBorder="1" applyAlignment="1" applyProtection="1">
      <alignment horizontal="center" vertical="center" wrapText="1"/>
      <protection locked="0"/>
    </xf>
    <xf numFmtId="0" fontId="10" fillId="7" borderId="10" xfId="8" applyFont="1" applyFill="1" applyBorder="1" applyAlignment="1" applyProtection="1">
      <alignment horizontal="center" vertical="center" wrapText="1"/>
      <protection locked="0"/>
    </xf>
    <xf numFmtId="0" fontId="49" fillId="0" borderId="57" xfId="0" applyFont="1" applyBorder="1" applyAlignment="1" applyProtection="1">
      <alignment horizontal="center" vertical="center"/>
    </xf>
    <xf numFmtId="0" fontId="49" fillId="0" borderId="19" xfId="0" applyFont="1" applyBorder="1" applyAlignment="1" applyProtection="1">
      <alignment horizontal="center" vertical="center"/>
    </xf>
    <xf numFmtId="0" fontId="49" fillId="0" borderId="56" xfId="0" applyFont="1" applyBorder="1" applyAlignment="1" applyProtection="1">
      <alignment horizontal="center" vertical="center"/>
    </xf>
    <xf numFmtId="0" fontId="16" fillId="0" borderId="34" xfId="0" applyFont="1" applyBorder="1" applyAlignment="1" applyProtection="1">
      <alignment vertical="top"/>
    </xf>
    <xf numFmtId="0" fontId="16" fillId="0" borderId="41" xfId="0" applyFont="1" applyBorder="1" applyAlignment="1" applyProtection="1">
      <alignment vertical="top"/>
    </xf>
    <xf numFmtId="0" fontId="68" fillId="0" borderId="0" xfId="0" applyFont="1" applyAlignment="1" applyProtection="1">
      <alignment horizontal="center" vertical="center"/>
    </xf>
    <xf numFmtId="0" fontId="81" fillId="16" borderId="10" xfId="0" applyFont="1" applyFill="1" applyBorder="1" applyAlignment="1">
      <alignment horizontal="left" vertical="center" wrapText="1"/>
    </xf>
    <xf numFmtId="0" fontId="63" fillId="16" borderId="8" xfId="0" applyFont="1" applyFill="1" applyBorder="1" applyAlignment="1">
      <alignment horizontal="center" vertical="center" wrapText="1"/>
    </xf>
    <xf numFmtId="0" fontId="75" fillId="16" borderId="9" xfId="0" applyFont="1" applyFill="1" applyBorder="1" applyAlignment="1">
      <alignment horizontal="center" vertical="center" wrapText="1"/>
    </xf>
    <xf numFmtId="191" fontId="87" fillId="16" borderId="9" xfId="0" applyNumberFormat="1" applyFont="1" applyFill="1" applyBorder="1" applyAlignment="1">
      <alignment horizontal="left" vertical="center" wrapText="1"/>
    </xf>
    <xf numFmtId="0" fontId="75" fillId="16" borderId="13" xfId="0" applyFont="1" applyFill="1" applyBorder="1" applyAlignment="1">
      <alignment horizontal="center" vertical="center" wrapText="1"/>
    </xf>
    <xf numFmtId="0" fontId="75" fillId="16" borderId="6" xfId="0" applyFont="1" applyFill="1" applyBorder="1" applyAlignment="1">
      <alignment horizontal="center" vertical="center" wrapText="1"/>
    </xf>
    <xf numFmtId="191" fontId="87" fillId="16" borderId="13" xfId="0" applyNumberFormat="1" applyFont="1" applyFill="1" applyBorder="1" applyAlignment="1">
      <alignment horizontal="center" vertical="center" wrapText="1"/>
    </xf>
    <xf numFmtId="191" fontId="87" fillId="16" borderId="6" xfId="0" applyNumberFormat="1" applyFont="1" applyFill="1" applyBorder="1" applyAlignment="1">
      <alignment horizontal="center" vertical="center" wrapText="1"/>
    </xf>
    <xf numFmtId="0" fontId="52" fillId="16" borderId="8" xfId="0" applyFont="1" applyFill="1" applyBorder="1" applyAlignment="1">
      <alignment horizontal="center" vertical="center" wrapText="1"/>
    </xf>
    <xf numFmtId="0" fontId="81" fillId="16" borderId="9" xfId="0" applyFont="1" applyFill="1" applyBorder="1" applyAlignment="1">
      <alignment horizontal="center" vertical="center" wrapText="1"/>
    </xf>
    <xf numFmtId="0" fontId="87" fillId="16" borderId="9" xfId="0" applyFont="1" applyFill="1" applyBorder="1" applyAlignment="1">
      <alignment horizontal="left" vertical="center" wrapText="1"/>
    </xf>
    <xf numFmtId="0" fontId="83" fillId="21" borderId="77" xfId="0" applyNumberFormat="1" applyFont="1" applyFill="1" applyBorder="1" applyAlignment="1" applyProtection="1">
      <alignment horizontal="center" vertical="center" wrapText="1"/>
    </xf>
    <xf numFmtId="0" fontId="83" fillId="21" borderId="67" xfId="0" applyNumberFormat="1" applyFont="1" applyFill="1" applyBorder="1" applyAlignment="1" applyProtection="1">
      <alignment horizontal="center" vertical="center" wrapText="1"/>
    </xf>
    <xf numFmtId="0" fontId="83" fillId="21" borderId="76" xfId="0" applyNumberFormat="1" applyFont="1" applyFill="1" applyBorder="1" applyAlignment="1" applyProtection="1">
      <alignment horizontal="center" vertical="center" wrapText="1"/>
    </xf>
    <xf numFmtId="0" fontId="84" fillId="21" borderId="18" xfId="0" applyNumberFormat="1" applyFont="1" applyFill="1" applyBorder="1" applyAlignment="1" applyProtection="1">
      <alignment horizontal="left" vertical="center" wrapText="1"/>
    </xf>
    <xf numFmtId="0" fontId="84" fillId="21" borderId="61" xfId="0" applyNumberFormat="1" applyFont="1" applyFill="1" applyBorder="1" applyAlignment="1" applyProtection="1">
      <alignment horizontal="left" vertical="center" wrapText="1"/>
    </xf>
    <xf numFmtId="0" fontId="84" fillId="21" borderId="43" xfId="0" applyNumberFormat="1" applyFont="1" applyFill="1" applyBorder="1" applyAlignment="1" applyProtection="1">
      <alignment horizontal="left" vertical="center" wrapText="1"/>
    </xf>
    <xf numFmtId="0" fontId="85" fillId="22" borderId="18" xfId="0" applyNumberFormat="1" applyFont="1" applyFill="1" applyBorder="1" applyAlignment="1" applyProtection="1">
      <alignment horizontal="left" vertical="top" wrapText="1"/>
    </xf>
    <xf numFmtId="0" fontId="85" fillId="22" borderId="61" xfId="0" applyNumberFormat="1" applyFont="1" applyFill="1" applyBorder="1" applyAlignment="1" applyProtection="1">
      <alignment horizontal="left" vertical="top" wrapText="1"/>
    </xf>
    <xf numFmtId="0" fontId="85" fillId="22" borderId="43" xfId="0" applyNumberFormat="1" applyFont="1" applyFill="1" applyBorder="1" applyAlignment="1" applyProtection="1">
      <alignment horizontal="left" vertical="top" wrapText="1"/>
    </xf>
    <xf numFmtId="0" fontId="52" fillId="16" borderId="11" xfId="0" applyFont="1" applyFill="1" applyBorder="1" applyAlignment="1">
      <alignment horizontal="center" vertical="center" wrapText="1"/>
    </xf>
    <xf numFmtId="0" fontId="52" fillId="16" borderId="12" xfId="0" applyFont="1" applyFill="1" applyBorder="1" applyAlignment="1">
      <alignment horizontal="center" vertical="center" wrapText="1"/>
    </xf>
    <xf numFmtId="0" fontId="52" fillId="16" borderId="5" xfId="0" applyFont="1" applyFill="1" applyBorder="1" applyAlignment="1">
      <alignment horizontal="center" vertical="center" wrapText="1"/>
    </xf>
    <xf numFmtId="0" fontId="81" fillId="16" borderId="10" xfId="0" applyFont="1" applyFill="1" applyBorder="1" applyAlignment="1">
      <alignment horizontal="left" vertical="center"/>
    </xf>
    <xf numFmtId="0" fontId="75" fillId="23" borderId="9" xfId="0" applyFont="1" applyFill="1" applyBorder="1" applyAlignment="1">
      <alignment horizontal="center" vertical="center" wrapText="1"/>
    </xf>
    <xf numFmtId="191" fontId="87" fillId="23" borderId="9" xfId="0" applyNumberFormat="1" applyFont="1" applyFill="1" applyBorder="1" applyAlignment="1">
      <alignment horizontal="left" vertical="center" wrapText="1"/>
    </xf>
    <xf numFmtId="0" fontId="81" fillId="23" borderId="10" xfId="0" applyFont="1" applyFill="1" applyBorder="1" applyAlignment="1">
      <alignment horizontal="left" vertical="center" wrapText="1"/>
    </xf>
  </cellXfs>
  <cellStyles count="27">
    <cellStyle name="标题" xfId="1" builtinId="15"/>
    <cellStyle name="标题 5" xfId="4"/>
    <cellStyle name="标题 6" xfId="16"/>
    <cellStyle name="常规" xfId="0" builtinId="0"/>
    <cellStyle name="常规 10" xfId="23"/>
    <cellStyle name="常规 2" xfId="5"/>
    <cellStyle name="常规 2 2" xfId="6"/>
    <cellStyle name="常规 3" xfId="3"/>
    <cellStyle name="常规 3 2" xfId="19"/>
    <cellStyle name="常规 3 3" xfId="26"/>
    <cellStyle name="常规 4" xfId="7"/>
    <cellStyle name="常规 5" xfId="8"/>
    <cellStyle name="常规 6" xfId="9"/>
    <cellStyle name="常规 7" xfId="10"/>
    <cellStyle name="常规 8" xfId="17"/>
    <cellStyle name="常规 9" xfId="20"/>
    <cellStyle name="常规_NC服务产品报价工具 2" xfId="24"/>
    <cellStyle name="常规_U9V1.1报价生成器" xfId="22"/>
    <cellStyle name="超链接 2" xfId="11"/>
    <cellStyle name="超链接 3" xfId="25"/>
    <cellStyle name="千位分隔" xfId="21" builtinId="3"/>
    <cellStyle name="千位分隔 2" xfId="12"/>
    <cellStyle name="千位分隔 3" xfId="13"/>
    <cellStyle name="强调文字颜色 6" xfId="2" builtinId="49"/>
    <cellStyle name="强调文字颜色 6 2" xfId="18"/>
    <cellStyle name="强调文字颜色 6 3" xfId="14"/>
    <cellStyle name="样式 1" xfId="15"/>
  </cellStyles>
  <dxfs count="0"/>
  <tableStyles count="0" defaultTableStyle="TableStyleMedium9" defaultPivotStyle="PivotStyleLight16"/>
  <colors>
    <mruColors>
      <color rgb="FFFFFFCC"/>
      <color rgb="FFCCFFFF"/>
      <color rgb="FFFFFF99"/>
      <color rgb="FFEBCDEA"/>
      <color rgb="FF99CC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6"/>
  <sheetViews>
    <sheetView topLeftCell="A10" zoomScale="110" zoomScaleNormal="110" workbookViewId="0">
      <selection activeCell="D28" sqref="D28"/>
    </sheetView>
  </sheetViews>
  <sheetFormatPr defaultRowHeight="13.5"/>
  <cols>
    <col min="1" max="1" width="14.25" style="62" customWidth="1"/>
    <col min="2" max="2" width="13.75" style="62" customWidth="1"/>
    <col min="3" max="3" width="13.375" style="62" customWidth="1"/>
    <col min="4" max="4" width="34.875" style="62" bestFit="1" customWidth="1"/>
    <col min="5" max="5" width="30.75" style="62" customWidth="1"/>
    <col min="6" max="6" width="8" style="62" customWidth="1"/>
    <col min="7" max="7" width="34.75" style="62" customWidth="1"/>
    <col min="8" max="16384" width="9" style="62"/>
  </cols>
  <sheetData>
    <row r="1" spans="1:7" ht="42.75" customHeight="1" thickBot="1">
      <c r="A1" s="929" t="s">
        <v>1371</v>
      </c>
      <c r="B1" s="929"/>
      <c r="C1" s="929"/>
      <c r="D1" s="929"/>
      <c r="E1" s="929"/>
      <c r="G1" s="621"/>
    </row>
    <row r="2" spans="1:7" ht="18.75" customHeight="1">
      <c r="A2" s="930" t="s">
        <v>968</v>
      </c>
      <c r="B2" s="931"/>
      <c r="C2" s="622" t="s">
        <v>969</v>
      </c>
      <c r="D2" s="622" t="s">
        <v>970</v>
      </c>
      <c r="E2" s="623" t="s">
        <v>971</v>
      </c>
      <c r="G2" s="928"/>
    </row>
    <row r="3" spans="1:7" ht="15" customHeight="1">
      <c r="A3" s="918" t="s">
        <v>1372</v>
      </c>
      <c r="B3" s="919"/>
      <c r="C3" s="624" t="s">
        <v>972</v>
      </c>
      <c r="D3" s="625" t="s">
        <v>972</v>
      </c>
      <c r="E3" s="626" t="s">
        <v>972</v>
      </c>
      <c r="G3" s="928"/>
    </row>
    <row r="4" spans="1:7" ht="15" customHeight="1">
      <c r="A4" s="916" t="s">
        <v>973</v>
      </c>
      <c r="B4" s="917"/>
      <c r="C4" s="627"/>
      <c r="D4" s="628" t="s">
        <v>1374</v>
      </c>
      <c r="E4" s="629">
        <f>IF(C4=1,IF(C5=1,"并发报价和注册报价只能选择其一",'注册用户报价 '!G205),0)</f>
        <v>0</v>
      </c>
      <c r="G4" s="928"/>
    </row>
    <row r="5" spans="1:7" ht="16.5" customHeight="1">
      <c r="A5" s="916" t="s">
        <v>974</v>
      </c>
      <c r="B5" s="917"/>
      <c r="C5" s="627"/>
      <c r="D5" s="628" t="s">
        <v>1375</v>
      </c>
      <c r="E5" s="629">
        <f>IF(C5=1,IF(C4=1,"并发报价和注册报价只能选择其一",'并发报价 '!I189),0)</f>
        <v>0</v>
      </c>
      <c r="G5" s="928"/>
    </row>
    <row r="6" spans="1:7" ht="16.5" customHeight="1">
      <c r="A6" s="916" t="s">
        <v>975</v>
      </c>
      <c r="B6" s="917"/>
      <c r="C6" s="627"/>
      <c r="D6" s="628" t="s">
        <v>993</v>
      </c>
      <c r="E6" s="629">
        <f>IF(C6=1,银行接口报价!H40,0)</f>
        <v>0</v>
      </c>
      <c r="G6" s="928"/>
    </row>
    <row r="7" spans="1:7" ht="16.5" customHeight="1">
      <c r="A7" s="916" t="s">
        <v>976</v>
      </c>
      <c r="B7" s="917"/>
      <c r="C7" s="627"/>
      <c r="D7" s="628" t="s">
        <v>1616</v>
      </c>
      <c r="E7" s="629">
        <f>IF(C7=1,NCV6移动应用运营服务报价!J55/10000,0)</f>
        <v>0</v>
      </c>
      <c r="G7" s="928"/>
    </row>
    <row r="8" spans="1:7" ht="15">
      <c r="A8" s="926" t="s">
        <v>977</v>
      </c>
      <c r="B8" s="927"/>
      <c r="C8" s="624" t="s">
        <v>972</v>
      </c>
      <c r="D8" s="620" t="s">
        <v>972</v>
      </c>
      <c r="E8" s="626" t="s">
        <v>972</v>
      </c>
    </row>
    <row r="9" spans="1:7" ht="16.5">
      <c r="A9" s="920" t="s">
        <v>978</v>
      </c>
      <c r="B9" s="921"/>
      <c r="C9" s="627"/>
      <c r="D9" s="628" t="s">
        <v>1373</v>
      </c>
      <c r="E9" s="626" t="s">
        <v>30</v>
      </c>
    </row>
    <row r="10" spans="1:7" ht="16.5">
      <c r="A10" s="924" t="s">
        <v>979</v>
      </c>
      <c r="B10" s="925"/>
      <c r="C10" s="627"/>
      <c r="D10" s="628" t="s">
        <v>1373</v>
      </c>
      <c r="E10" s="626" t="s">
        <v>30</v>
      </c>
    </row>
    <row r="11" spans="1:7" ht="16.5">
      <c r="A11" s="920" t="s">
        <v>980</v>
      </c>
      <c r="B11" s="921"/>
      <c r="C11" s="627"/>
      <c r="D11" s="628" t="s">
        <v>1376</v>
      </c>
      <c r="E11" s="626" t="s">
        <v>30</v>
      </c>
    </row>
    <row r="12" spans="1:7" ht="15">
      <c r="A12" s="918" t="s">
        <v>981</v>
      </c>
      <c r="B12" s="919"/>
      <c r="C12" s="624" t="s">
        <v>972</v>
      </c>
      <c r="D12" s="620" t="s">
        <v>972</v>
      </c>
      <c r="E12" s="626" t="s">
        <v>972</v>
      </c>
    </row>
    <row r="13" spans="1:7" ht="16.5">
      <c r="A13" s="916" t="s">
        <v>982</v>
      </c>
      <c r="B13" s="917"/>
      <c r="C13" s="627"/>
      <c r="D13" s="628" t="s">
        <v>983</v>
      </c>
      <c r="E13" s="626" t="s">
        <v>972</v>
      </c>
    </row>
    <row r="14" spans="1:7" ht="15">
      <c r="A14" s="918" t="s">
        <v>984</v>
      </c>
      <c r="B14" s="919"/>
      <c r="C14" s="624" t="s">
        <v>972</v>
      </c>
      <c r="D14" s="620" t="s">
        <v>972</v>
      </c>
      <c r="E14" s="626" t="s">
        <v>972</v>
      </c>
    </row>
    <row r="15" spans="1:7" ht="16.5">
      <c r="A15" s="920" t="s">
        <v>985</v>
      </c>
      <c r="B15" s="921"/>
      <c r="C15" s="627"/>
      <c r="D15" s="628" t="s">
        <v>986</v>
      </c>
      <c r="E15" s="626" t="s">
        <v>972</v>
      </c>
    </row>
    <row r="16" spans="1:7" ht="16.5">
      <c r="A16" s="918" t="s">
        <v>1377</v>
      </c>
      <c r="B16" s="919"/>
      <c r="C16" s="819" t="s">
        <v>30</v>
      </c>
      <c r="D16" s="628"/>
      <c r="E16" s="626"/>
    </row>
    <row r="17" spans="1:5" ht="16.5" customHeight="1">
      <c r="A17" s="916" t="s">
        <v>1378</v>
      </c>
      <c r="B17" s="917"/>
      <c r="C17" s="627"/>
      <c r="D17" s="628" t="s">
        <v>1383</v>
      </c>
      <c r="E17" s="824">
        <f>IF(C17=1,天创征腾影像管理系统!H7,0)</f>
        <v>0</v>
      </c>
    </row>
    <row r="18" spans="1:5" ht="16.5">
      <c r="A18" s="924" t="s">
        <v>1380</v>
      </c>
      <c r="B18" s="925"/>
      <c r="C18" s="627"/>
      <c r="D18" s="628" t="s">
        <v>1379</v>
      </c>
      <c r="E18" s="824">
        <f>IF(C18=1,IF(C19=1,"并发报价和注册报价只能选择其一",'简历解析注册用户报价 '!G5),0)</f>
        <v>0</v>
      </c>
    </row>
    <row r="19" spans="1:5" ht="16.5">
      <c r="A19" s="924" t="s">
        <v>1381</v>
      </c>
      <c r="B19" s="925"/>
      <c r="C19" s="627"/>
      <c r="D19" s="628" t="s">
        <v>1382</v>
      </c>
      <c r="E19" s="824">
        <f>IF(C19=1,IF(C18=1,"并发报价和注册报价只能选择其一",简历解析并发报价!H4),0)</f>
        <v>0</v>
      </c>
    </row>
    <row r="20" spans="1:5" ht="15">
      <c r="A20" s="918" t="s">
        <v>987</v>
      </c>
      <c r="B20" s="919"/>
      <c r="C20" s="630" t="s">
        <v>972</v>
      </c>
      <c r="D20" s="620" t="s">
        <v>972</v>
      </c>
      <c r="E20" s="626" t="s">
        <v>972</v>
      </c>
    </row>
    <row r="21" spans="1:5" ht="16.5">
      <c r="A21" s="920" t="s">
        <v>988</v>
      </c>
      <c r="B21" s="921"/>
      <c r="C21" s="627"/>
      <c r="D21" s="628" t="s">
        <v>989</v>
      </c>
      <c r="E21" s="626" t="s">
        <v>972</v>
      </c>
    </row>
    <row r="22" spans="1:5" ht="14.25">
      <c r="A22" s="922" t="s">
        <v>990</v>
      </c>
      <c r="B22" s="923"/>
      <c r="C22" s="624" t="s">
        <v>972</v>
      </c>
      <c r="D22" s="631" t="s">
        <v>972</v>
      </c>
      <c r="E22" s="632">
        <f>SUM(E4:E21)</f>
        <v>0</v>
      </c>
    </row>
    <row r="23" spans="1:5" ht="42.75" customHeight="1" thickBot="1">
      <c r="A23" s="913" t="s">
        <v>991</v>
      </c>
      <c r="B23" s="914"/>
      <c r="C23" s="914"/>
      <c r="D23" s="914"/>
      <c r="E23" s="915"/>
    </row>
    <row r="25" spans="1:5" ht="9.75" customHeight="1"/>
    <row r="26" spans="1:5" hidden="1"/>
  </sheetData>
  <mergeCells count="26">
    <mergeCell ref="A6:B6"/>
    <mergeCell ref="G6:G7"/>
    <mergeCell ref="A7:B7"/>
    <mergeCell ref="A1:E1"/>
    <mergeCell ref="A2:B2"/>
    <mergeCell ref="G2:G3"/>
    <mergeCell ref="A3:B3"/>
    <mergeCell ref="A4:B4"/>
    <mergeCell ref="G4:G5"/>
    <mergeCell ref="A5:B5"/>
    <mergeCell ref="A8:B8"/>
    <mergeCell ref="A9:B9"/>
    <mergeCell ref="A10:B10"/>
    <mergeCell ref="A11:B11"/>
    <mergeCell ref="A12:B12"/>
    <mergeCell ref="A23:E23"/>
    <mergeCell ref="A13:B13"/>
    <mergeCell ref="A14:B14"/>
    <mergeCell ref="A15:B15"/>
    <mergeCell ref="A20:B20"/>
    <mergeCell ref="A21:B21"/>
    <mergeCell ref="A22:B22"/>
    <mergeCell ref="A18:B18"/>
    <mergeCell ref="A19:B19"/>
    <mergeCell ref="A16:B16"/>
    <mergeCell ref="A17:B17"/>
  </mergeCells>
  <phoneticPr fontId="5" type="noConversion"/>
  <dataValidations count="1">
    <dataValidation type="list" allowBlank="1" showInputMessage="1" showErrorMessage="1" sqref="C4:C7 C9:C11 C13 C21 C15 C17:C19">
      <formula1>"1"</formula1>
    </dataValidation>
  </dataValidations>
  <hyperlinks>
    <hyperlink ref="D5" location="'并发报价 '!A1" display="并发报价"/>
    <hyperlink ref="D6" location="银行接口报价!A1" display="银行接口报价"/>
    <hyperlink ref="D7" location="NCV6移动应用运营服务报价!A1" display="NCV6移动应用租赁报价"/>
    <hyperlink ref="D9" location="产品支持服务!A1" display="产品支持服务报价"/>
    <hyperlink ref="D11" location="系统运维服务!A1" display="系统运维服务报价"/>
    <hyperlink ref="D21" location="oracle报价!A1" display="Oracle数据库"/>
    <hyperlink ref="D4" location="'注册用户报价 '!A1" display="注册用户报价"/>
    <hyperlink ref="D10" location="产品支持服务!A1" display="产品支持服务报价"/>
    <hyperlink ref="D17" location="天创征腾影像管理系统!A1" display="  天创征腾影像平台产品报价"/>
    <hyperlink ref="D18" location="'简历解析注册用户报价 '!A1" display="简历解析注册用户报价"/>
    <hyperlink ref="D19" location="简历解析并发报价!A1" display="简历解析并发报价"/>
    <hyperlink ref="D13" location="' 实施报价'!A1" display="实施报价"/>
    <hyperlink ref="D15" location="客开报价!A1" display="客开报价"/>
  </hyperlink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21"/>
  <sheetViews>
    <sheetView workbookViewId="0">
      <selection sqref="A1:J1"/>
    </sheetView>
  </sheetViews>
  <sheetFormatPr defaultRowHeight="16.5"/>
  <cols>
    <col min="1" max="1" width="6.625" style="871" customWidth="1"/>
    <col min="2" max="2" width="15.625" style="871" customWidth="1"/>
    <col min="3" max="3" width="26.25" style="871" customWidth="1"/>
    <col min="4" max="4" width="21.5" style="830" customWidth="1"/>
    <col min="5" max="5" width="8.125" style="830" customWidth="1"/>
    <col min="6" max="6" width="11.125" style="830" customWidth="1"/>
    <col min="7" max="7" width="13.75" style="830" customWidth="1"/>
    <col min="8" max="8" width="20.375" style="830" customWidth="1"/>
    <col min="9" max="9" width="18.125" style="830" customWidth="1"/>
    <col min="10" max="10" width="41.625" style="830" customWidth="1"/>
    <col min="11" max="16384" width="9" style="830"/>
  </cols>
  <sheetData>
    <row r="1" spans="1:21" ht="27.75">
      <c r="A1" s="1251" t="s">
        <v>1463</v>
      </c>
      <c r="B1" s="1251"/>
      <c r="C1" s="1251"/>
      <c r="D1" s="1251"/>
      <c r="E1" s="1251"/>
      <c r="F1" s="1251"/>
      <c r="G1" s="1251"/>
      <c r="H1" s="1251"/>
      <c r="I1" s="1251"/>
      <c r="J1" s="1251"/>
    </row>
    <row r="2" spans="1:21" ht="66" customHeight="1">
      <c r="A2" s="1252" t="s">
        <v>1426</v>
      </c>
      <c r="B2" s="1252"/>
      <c r="C2" s="1252"/>
      <c r="D2" s="1252"/>
      <c r="E2" s="1252"/>
      <c r="F2" s="1252"/>
      <c r="G2" s="1253"/>
      <c r="H2" s="1253"/>
      <c r="I2" s="1253"/>
      <c r="J2" s="1253"/>
    </row>
    <row r="3" spans="1:21" s="862" customFormat="1" ht="16.5" customHeight="1">
      <c r="A3" s="858"/>
      <c r="B3" s="1277" t="s">
        <v>1464</v>
      </c>
      <c r="C3" s="1277"/>
      <c r="D3" s="1277"/>
      <c r="E3" s="1277"/>
      <c r="F3" s="1277"/>
      <c r="G3" s="859"/>
      <c r="H3" s="860"/>
      <c r="I3" s="860"/>
      <c r="J3" s="860"/>
      <c r="K3" s="860"/>
      <c r="L3" s="860"/>
      <c r="M3" s="860"/>
      <c r="N3" s="860"/>
      <c r="O3" s="860"/>
      <c r="P3" s="860"/>
      <c r="Q3" s="860"/>
      <c r="R3" s="860"/>
      <c r="S3" s="860"/>
      <c r="T3" s="861"/>
      <c r="U3" s="861"/>
    </row>
    <row r="4" spans="1:21" s="862" customFormat="1" ht="33">
      <c r="A4" s="858"/>
      <c r="B4" s="863" t="s">
        <v>1465</v>
      </c>
      <c r="C4" s="864" t="s">
        <v>1466</v>
      </c>
      <c r="D4" s="863" t="s">
        <v>1467</v>
      </c>
      <c r="E4" s="863" t="s">
        <v>1468</v>
      </c>
      <c r="F4" s="863" t="s">
        <v>1469</v>
      </c>
      <c r="G4" s="865"/>
      <c r="H4" s="866"/>
      <c r="I4" s="860"/>
      <c r="J4" s="860"/>
      <c r="K4" s="860"/>
      <c r="L4" s="860"/>
      <c r="M4" s="860"/>
      <c r="N4" s="860"/>
      <c r="O4" s="860"/>
      <c r="P4" s="860"/>
      <c r="Q4" s="860"/>
      <c r="R4" s="860"/>
      <c r="S4" s="860"/>
      <c r="T4" s="861"/>
      <c r="U4" s="861"/>
    </row>
    <row r="5" spans="1:21" s="862" customFormat="1">
      <c r="A5" s="858"/>
      <c r="B5" s="867" t="s">
        <v>1470</v>
      </c>
      <c r="C5" s="868">
        <v>3</v>
      </c>
      <c r="D5" s="868">
        <v>3</v>
      </c>
      <c r="E5" s="867" t="s">
        <v>1471</v>
      </c>
      <c r="F5" s="867" t="s">
        <v>1472</v>
      </c>
      <c r="G5" s="865"/>
      <c r="H5" s="866"/>
      <c r="I5" s="860"/>
      <c r="J5" s="860"/>
      <c r="K5" s="860"/>
      <c r="L5" s="860"/>
      <c r="M5" s="860"/>
      <c r="N5" s="860"/>
      <c r="O5" s="860"/>
      <c r="P5" s="860"/>
      <c r="Q5" s="860"/>
      <c r="R5" s="860"/>
      <c r="S5" s="860"/>
      <c r="T5" s="861"/>
      <c r="U5" s="861"/>
    </row>
    <row r="6" spans="1:21" s="862" customFormat="1">
      <c r="A6" s="858"/>
      <c r="B6" s="869" t="s">
        <v>1473</v>
      </c>
      <c r="C6" s="870">
        <v>1</v>
      </c>
      <c r="D6" s="870">
        <v>1</v>
      </c>
      <c r="E6" s="869" t="s">
        <v>1471</v>
      </c>
      <c r="F6" s="869" t="s">
        <v>1472</v>
      </c>
      <c r="G6" s="865"/>
      <c r="H6" s="866"/>
      <c r="I6" s="860"/>
      <c r="J6" s="860"/>
      <c r="K6" s="860"/>
      <c r="L6" s="860"/>
      <c r="M6" s="860"/>
      <c r="N6" s="860"/>
      <c r="O6" s="860"/>
      <c r="P6" s="860"/>
      <c r="Q6" s="860"/>
      <c r="R6" s="860"/>
      <c r="S6" s="860"/>
      <c r="T6" s="861"/>
      <c r="U6" s="861"/>
    </row>
    <row r="7" spans="1:21" s="862" customFormat="1">
      <c r="A7" s="858"/>
      <c r="B7" s="869" t="s">
        <v>1001</v>
      </c>
      <c r="C7" s="870">
        <v>1</v>
      </c>
      <c r="D7" s="870">
        <v>1</v>
      </c>
      <c r="E7" s="869" t="s">
        <v>1471</v>
      </c>
      <c r="F7" s="869" t="s">
        <v>1472</v>
      </c>
      <c r="G7" s="865"/>
      <c r="H7" s="866"/>
      <c r="I7" s="860"/>
      <c r="J7" s="860"/>
      <c r="K7" s="860"/>
      <c r="L7" s="860"/>
      <c r="M7" s="860"/>
      <c r="N7" s="860"/>
      <c r="O7" s="860"/>
      <c r="P7" s="860"/>
      <c r="Q7" s="860"/>
      <c r="R7" s="860"/>
      <c r="S7" s="860"/>
      <c r="T7" s="861"/>
      <c r="U7" s="861"/>
    </row>
    <row r="8" spans="1:21">
      <c r="B8" s="869" t="s">
        <v>1474</v>
      </c>
      <c r="C8" s="870">
        <v>0.8</v>
      </c>
      <c r="D8" s="870">
        <v>0.8</v>
      </c>
      <c r="E8" s="872" t="s">
        <v>1475</v>
      </c>
      <c r="F8" s="872" t="s">
        <v>1472</v>
      </c>
      <c r="G8" s="873"/>
      <c r="H8" s="873"/>
      <c r="I8" s="873"/>
      <c r="J8" s="873"/>
    </row>
    <row r="9" spans="1:21">
      <c r="B9" s="869" t="s">
        <v>1476</v>
      </c>
      <c r="C9" s="870">
        <v>0.6</v>
      </c>
      <c r="D9" s="870">
        <v>0.6</v>
      </c>
      <c r="E9" s="872" t="s">
        <v>1475</v>
      </c>
      <c r="F9" s="872" t="s">
        <v>1472</v>
      </c>
      <c r="G9" s="873"/>
      <c r="H9" s="873"/>
      <c r="I9" s="873"/>
      <c r="J9" s="873"/>
    </row>
    <row r="10" spans="1:21">
      <c r="B10" s="869" t="s">
        <v>1477</v>
      </c>
      <c r="C10" s="870">
        <v>0.4</v>
      </c>
      <c r="D10" s="870">
        <v>0.4</v>
      </c>
      <c r="E10" s="872" t="s">
        <v>1475</v>
      </c>
      <c r="F10" s="872" t="s">
        <v>1472</v>
      </c>
      <c r="G10" s="873"/>
      <c r="H10" s="873"/>
      <c r="I10" s="873"/>
      <c r="J10" s="873"/>
    </row>
    <row r="11" spans="1:21">
      <c r="B11" s="869" t="s">
        <v>1478</v>
      </c>
      <c r="C11" s="870">
        <v>0.6</v>
      </c>
      <c r="D11" s="870">
        <v>0.6</v>
      </c>
      <c r="E11" s="872" t="s">
        <v>1475</v>
      </c>
      <c r="F11" s="872" t="s">
        <v>1472</v>
      </c>
      <c r="G11" s="873"/>
      <c r="H11" s="873"/>
      <c r="I11" s="873"/>
      <c r="J11" s="873"/>
    </row>
    <row r="12" spans="1:21">
      <c r="B12" s="874" t="s">
        <v>1479</v>
      </c>
      <c r="C12" s="870">
        <v>0.4</v>
      </c>
      <c r="D12" s="870">
        <v>0.4</v>
      </c>
      <c r="E12" s="872" t="s">
        <v>1475</v>
      </c>
      <c r="F12" s="872" t="s">
        <v>1472</v>
      </c>
      <c r="G12" s="873"/>
      <c r="H12" s="873"/>
      <c r="I12" s="873"/>
      <c r="J12" s="873"/>
    </row>
    <row r="13" spans="1:21">
      <c r="B13" s="874" t="s">
        <v>1480</v>
      </c>
      <c r="C13" s="870">
        <v>0.3</v>
      </c>
      <c r="D13" s="870">
        <v>0.3</v>
      </c>
      <c r="E13" s="872" t="s">
        <v>1475</v>
      </c>
      <c r="F13" s="872" t="s">
        <v>1472</v>
      </c>
      <c r="G13" s="873"/>
      <c r="H13" s="873"/>
      <c r="I13" s="873"/>
      <c r="J13" s="873"/>
    </row>
    <row r="14" spans="1:21" s="862" customFormat="1" ht="69.75" customHeight="1">
      <c r="A14" s="858"/>
      <c r="B14" s="1278" t="s">
        <v>1481</v>
      </c>
      <c r="C14" s="1279"/>
      <c r="D14" s="1279"/>
      <c r="E14" s="1279"/>
      <c r="F14" s="1280"/>
      <c r="G14" s="866"/>
      <c r="H14" s="875"/>
      <c r="I14" s="875"/>
      <c r="J14" s="875"/>
      <c r="K14" s="875"/>
      <c r="L14" s="875"/>
      <c r="M14" s="875"/>
      <c r="N14" s="875"/>
      <c r="O14" s="875"/>
      <c r="P14" s="875"/>
      <c r="Q14" s="875"/>
      <c r="R14" s="875"/>
      <c r="S14" s="875"/>
      <c r="T14" s="861"/>
      <c r="U14" s="861"/>
    </row>
    <row r="15" spans="1:21">
      <c r="D15" s="876"/>
      <c r="E15" s="876"/>
      <c r="F15" s="876"/>
      <c r="G15" s="876"/>
      <c r="H15" s="873"/>
      <c r="I15" s="873"/>
      <c r="J15" s="873"/>
      <c r="K15" s="873"/>
    </row>
    <row r="16" spans="1:21">
      <c r="A16" s="1254" t="s">
        <v>1482</v>
      </c>
      <c r="B16" s="1281" t="s">
        <v>1428</v>
      </c>
      <c r="C16" s="1282"/>
      <c r="D16" s="1283"/>
      <c r="E16" s="1287" t="s">
        <v>1430</v>
      </c>
      <c r="F16" s="1254" t="s">
        <v>1483</v>
      </c>
      <c r="G16" s="1254" t="s">
        <v>1484</v>
      </c>
      <c r="H16" s="1254" t="s">
        <v>1485</v>
      </c>
      <c r="I16" s="1254" t="s">
        <v>1431</v>
      </c>
      <c r="J16" s="1254" t="s">
        <v>582</v>
      </c>
    </row>
    <row r="17" spans="1:10">
      <c r="A17" s="1254"/>
      <c r="B17" s="1284"/>
      <c r="C17" s="1285"/>
      <c r="D17" s="1286"/>
      <c r="E17" s="1287"/>
      <c r="F17" s="1254"/>
      <c r="G17" s="1254"/>
      <c r="H17" s="1254"/>
      <c r="I17" s="1254"/>
      <c r="J17" s="1254"/>
    </row>
    <row r="18" spans="1:10" ht="16.5" customHeight="1">
      <c r="A18" s="877">
        <v>1</v>
      </c>
      <c r="B18" s="1288" t="s">
        <v>1486</v>
      </c>
      <c r="C18" s="1289"/>
      <c r="D18" s="878" t="s">
        <v>1487</v>
      </c>
      <c r="E18" s="879"/>
      <c r="F18" s="880">
        <v>3</v>
      </c>
      <c r="G18" s="881" t="s">
        <v>1488</v>
      </c>
      <c r="H18" s="880"/>
      <c r="I18" s="835">
        <f>E18*H18*F18</f>
        <v>0</v>
      </c>
      <c r="J18" s="882" t="s">
        <v>1489</v>
      </c>
    </row>
    <row r="19" spans="1:10" ht="16.5" customHeight="1">
      <c r="A19" s="877">
        <v>2</v>
      </c>
      <c r="B19" s="1290"/>
      <c r="C19" s="1291"/>
      <c r="D19" s="878" t="s">
        <v>1490</v>
      </c>
      <c r="E19" s="879"/>
      <c r="F19" s="880">
        <v>1</v>
      </c>
      <c r="G19" s="881" t="s">
        <v>1488</v>
      </c>
      <c r="H19" s="880"/>
      <c r="I19" s="835">
        <f>E19*H19*F19</f>
        <v>0</v>
      </c>
      <c r="J19" s="1294" t="s">
        <v>1491</v>
      </c>
    </row>
    <row r="20" spans="1:10" ht="35.25" customHeight="1">
      <c r="A20" s="877">
        <v>3</v>
      </c>
      <c r="B20" s="1290"/>
      <c r="C20" s="1291"/>
      <c r="D20" s="878" t="s">
        <v>1492</v>
      </c>
      <c r="E20" s="879"/>
      <c r="F20" s="880">
        <v>1</v>
      </c>
      <c r="G20" s="881" t="s">
        <v>1488</v>
      </c>
      <c r="H20" s="880"/>
      <c r="I20" s="835">
        <f>E20*H20*F20</f>
        <v>0</v>
      </c>
      <c r="J20" s="1295"/>
    </row>
    <row r="21" spans="1:10" ht="57">
      <c r="A21" s="877">
        <v>4</v>
      </c>
      <c r="B21" s="1290"/>
      <c r="C21" s="1291"/>
      <c r="D21" s="883" t="s">
        <v>1493</v>
      </c>
      <c r="E21" s="879"/>
      <c r="F21" s="884">
        <v>3</v>
      </c>
      <c r="G21" s="881" t="s">
        <v>1488</v>
      </c>
      <c r="H21" s="880"/>
      <c r="I21" s="835">
        <f>E21*H21*F21</f>
        <v>0</v>
      </c>
      <c r="J21" s="882" t="s">
        <v>1494</v>
      </c>
    </row>
    <row r="22" spans="1:10" ht="57">
      <c r="A22" s="877">
        <v>5</v>
      </c>
      <c r="B22" s="1292"/>
      <c r="C22" s="1293"/>
      <c r="D22" s="878" t="s">
        <v>1495</v>
      </c>
      <c r="E22" s="879"/>
      <c r="F22" s="881">
        <v>1</v>
      </c>
      <c r="G22" s="881" t="s">
        <v>1488</v>
      </c>
      <c r="H22" s="880"/>
      <c r="I22" s="835">
        <f>E22*H22*F22</f>
        <v>0</v>
      </c>
      <c r="J22" s="882" t="s">
        <v>1496</v>
      </c>
    </row>
    <row r="23" spans="1:10" ht="71.25" customHeight="1">
      <c r="A23" s="877">
        <v>6</v>
      </c>
      <c r="B23" s="1296" t="s">
        <v>1497</v>
      </c>
      <c r="C23" s="1297"/>
      <c r="D23" s="878" t="s">
        <v>1498</v>
      </c>
      <c r="E23" s="879"/>
      <c r="F23" s="880">
        <v>0.6</v>
      </c>
      <c r="G23" s="881" t="s">
        <v>1488</v>
      </c>
      <c r="H23" s="880"/>
      <c r="I23" s="835">
        <f>IF(H23&gt;=10,5+(H23-10)*0.6,H23*1.2)*E23</f>
        <v>0</v>
      </c>
      <c r="J23" s="885" t="s">
        <v>1499</v>
      </c>
    </row>
    <row r="24" spans="1:10">
      <c r="A24" s="877">
        <v>7</v>
      </c>
      <c r="B24" s="1298"/>
      <c r="C24" s="1299"/>
      <c r="D24" s="878" t="s">
        <v>1500</v>
      </c>
      <c r="E24" s="879"/>
      <c r="F24" s="880">
        <v>3</v>
      </c>
      <c r="G24" s="881" t="s">
        <v>1488</v>
      </c>
      <c r="H24" s="880"/>
      <c r="I24" s="835">
        <f>E24*H24*3</f>
        <v>0</v>
      </c>
      <c r="J24" s="885" t="s">
        <v>1501</v>
      </c>
    </row>
    <row r="25" spans="1:10" ht="42.75">
      <c r="A25" s="877">
        <v>8</v>
      </c>
      <c r="B25" s="1298"/>
      <c r="C25" s="1299"/>
      <c r="D25" s="878" t="s">
        <v>1502</v>
      </c>
      <c r="E25" s="879"/>
      <c r="F25" s="880">
        <v>0.5</v>
      </c>
      <c r="G25" s="881" t="s">
        <v>1488</v>
      </c>
      <c r="H25" s="880"/>
      <c r="I25" s="835">
        <f>E25*H25*0.5</f>
        <v>0</v>
      </c>
      <c r="J25" s="885" t="s">
        <v>1503</v>
      </c>
    </row>
    <row r="26" spans="1:10">
      <c r="A26" s="877">
        <v>9</v>
      </c>
      <c r="B26" s="1300"/>
      <c r="C26" s="1301"/>
      <c r="D26" s="878" t="s">
        <v>1504</v>
      </c>
      <c r="E26" s="879"/>
      <c r="F26" s="880">
        <v>60</v>
      </c>
      <c r="G26" s="881" t="s">
        <v>1488</v>
      </c>
      <c r="H26" s="880"/>
      <c r="I26" s="835">
        <f>E26*H26*60</f>
        <v>0</v>
      </c>
      <c r="J26" s="885" t="s">
        <v>1365</v>
      </c>
    </row>
    <row r="27" spans="1:10">
      <c r="A27" s="877">
        <v>10</v>
      </c>
      <c r="B27" s="1302" t="s">
        <v>1505</v>
      </c>
      <c r="C27" s="1276" t="s">
        <v>1506</v>
      </c>
      <c r="D27" s="886" t="s">
        <v>1065</v>
      </c>
      <c r="E27" s="879"/>
      <c r="F27" s="887">
        <v>0.4</v>
      </c>
      <c r="G27" s="887">
        <v>15</v>
      </c>
      <c r="H27" s="880"/>
      <c r="I27" s="888">
        <f>E27*(G27+F27*H27)</f>
        <v>0</v>
      </c>
      <c r="J27" s="889"/>
    </row>
    <row r="28" spans="1:10">
      <c r="A28" s="877">
        <v>11</v>
      </c>
      <c r="B28" s="1302"/>
      <c r="C28" s="1276"/>
      <c r="D28" s="886" t="s">
        <v>1507</v>
      </c>
      <c r="E28" s="879"/>
      <c r="F28" s="887">
        <v>0.4</v>
      </c>
      <c r="G28" s="887">
        <v>20</v>
      </c>
      <c r="H28" s="880"/>
      <c r="I28" s="888">
        <f t="shared" ref="I28:I60" si="0">E28*(G28+F28*H28)</f>
        <v>0</v>
      </c>
      <c r="J28" s="889"/>
    </row>
    <row r="29" spans="1:10">
      <c r="A29" s="877">
        <v>12</v>
      </c>
      <c r="B29" s="1302"/>
      <c r="C29" s="1276"/>
      <c r="D29" s="886" t="s">
        <v>1508</v>
      </c>
      <c r="E29" s="879"/>
      <c r="F29" s="887">
        <v>0.4</v>
      </c>
      <c r="G29" s="887">
        <v>15</v>
      </c>
      <c r="H29" s="880"/>
      <c r="I29" s="888">
        <f t="shared" si="0"/>
        <v>0</v>
      </c>
      <c r="J29" s="889"/>
    </row>
    <row r="30" spans="1:10">
      <c r="A30" s="877">
        <v>13</v>
      </c>
      <c r="B30" s="1302"/>
      <c r="C30" s="1306" t="s">
        <v>1509</v>
      </c>
      <c r="D30" s="886" t="s">
        <v>1510</v>
      </c>
      <c r="E30" s="879"/>
      <c r="F30" s="887">
        <v>0.4</v>
      </c>
      <c r="G30" s="887">
        <v>15</v>
      </c>
      <c r="H30" s="880"/>
      <c r="I30" s="888">
        <f t="shared" si="0"/>
        <v>0</v>
      </c>
      <c r="J30" s="889"/>
    </row>
    <row r="31" spans="1:10">
      <c r="A31" s="877">
        <v>14</v>
      </c>
      <c r="B31" s="1302"/>
      <c r="C31" s="1307"/>
      <c r="D31" s="886" t="s">
        <v>1511</v>
      </c>
      <c r="E31" s="879"/>
      <c r="F31" s="887">
        <v>0.4</v>
      </c>
      <c r="G31" s="887">
        <v>15</v>
      </c>
      <c r="H31" s="880"/>
      <c r="I31" s="888">
        <f t="shared" si="0"/>
        <v>0</v>
      </c>
      <c r="J31" s="889"/>
    </row>
    <row r="32" spans="1:10">
      <c r="A32" s="877">
        <v>15</v>
      </c>
      <c r="B32" s="1302"/>
      <c r="C32" s="1307"/>
      <c r="D32" s="886" t="s">
        <v>1512</v>
      </c>
      <c r="E32" s="879"/>
      <c r="F32" s="887">
        <v>0.4</v>
      </c>
      <c r="G32" s="887">
        <v>15</v>
      </c>
      <c r="H32" s="880"/>
      <c r="I32" s="888">
        <f t="shared" si="0"/>
        <v>0</v>
      </c>
      <c r="J32" s="889"/>
    </row>
    <row r="33" spans="1:10">
      <c r="A33" s="877">
        <v>16</v>
      </c>
      <c r="B33" s="1302"/>
      <c r="C33" s="1307"/>
      <c r="D33" s="886" t="s">
        <v>1102</v>
      </c>
      <c r="E33" s="879"/>
      <c r="F33" s="887">
        <v>0.4</v>
      </c>
      <c r="G33" s="887">
        <v>20</v>
      </c>
      <c r="H33" s="880"/>
      <c r="I33" s="888">
        <f t="shared" si="0"/>
        <v>0</v>
      </c>
      <c r="J33" s="889"/>
    </row>
    <row r="34" spans="1:10">
      <c r="A34" s="877">
        <v>17</v>
      </c>
      <c r="B34" s="1302"/>
      <c r="C34" s="1307"/>
      <c r="D34" s="886" t="s">
        <v>1123</v>
      </c>
      <c r="E34" s="879"/>
      <c r="F34" s="887">
        <v>0.4</v>
      </c>
      <c r="G34" s="887">
        <v>25</v>
      </c>
      <c r="H34" s="880"/>
      <c r="I34" s="888">
        <f t="shared" si="0"/>
        <v>0</v>
      </c>
      <c r="J34" s="889"/>
    </row>
    <row r="35" spans="1:10">
      <c r="A35" s="877">
        <v>18</v>
      </c>
      <c r="B35" s="1302"/>
      <c r="C35" s="1307"/>
      <c r="D35" s="886" t="s">
        <v>1513</v>
      </c>
      <c r="E35" s="879"/>
      <c r="F35" s="887">
        <v>0.4</v>
      </c>
      <c r="G35" s="887">
        <v>15</v>
      </c>
      <c r="H35" s="880"/>
      <c r="I35" s="888">
        <f t="shared" si="0"/>
        <v>0</v>
      </c>
      <c r="J35" s="889"/>
    </row>
    <row r="36" spans="1:10">
      <c r="A36" s="877">
        <v>19</v>
      </c>
      <c r="B36" s="1302"/>
      <c r="C36" s="1308"/>
      <c r="D36" s="886" t="s">
        <v>1514</v>
      </c>
      <c r="E36" s="879"/>
      <c r="F36" s="887">
        <v>0.4</v>
      </c>
      <c r="G36" s="887">
        <v>15</v>
      </c>
      <c r="H36" s="880"/>
      <c r="I36" s="888">
        <f t="shared" si="0"/>
        <v>0</v>
      </c>
      <c r="J36" s="889"/>
    </row>
    <row r="37" spans="1:10">
      <c r="A37" s="877">
        <v>20</v>
      </c>
      <c r="B37" s="1302"/>
      <c r="C37" s="869" t="s">
        <v>1515</v>
      </c>
      <c r="D37" s="890" t="s">
        <v>1516</v>
      </c>
      <c r="E37" s="879"/>
      <c r="F37" s="887">
        <v>0.4</v>
      </c>
      <c r="G37" s="887">
        <v>25</v>
      </c>
      <c r="H37" s="880"/>
      <c r="I37" s="888">
        <f t="shared" si="0"/>
        <v>0</v>
      </c>
      <c r="J37" s="889"/>
    </row>
    <row r="38" spans="1:10">
      <c r="A38" s="877">
        <v>21</v>
      </c>
      <c r="B38" s="1302"/>
      <c r="C38" s="1276" t="s">
        <v>1517</v>
      </c>
      <c r="D38" s="886" t="s">
        <v>1518</v>
      </c>
      <c r="E38" s="879"/>
      <c r="F38" s="887">
        <v>0.4</v>
      </c>
      <c r="G38" s="887">
        <v>25</v>
      </c>
      <c r="H38" s="880"/>
      <c r="I38" s="888">
        <f t="shared" si="0"/>
        <v>0</v>
      </c>
      <c r="J38" s="889"/>
    </row>
    <row r="39" spans="1:10">
      <c r="A39" s="877">
        <v>22</v>
      </c>
      <c r="B39" s="1302"/>
      <c r="C39" s="1276"/>
      <c r="D39" s="886" t="s">
        <v>1519</v>
      </c>
      <c r="E39" s="879"/>
      <c r="F39" s="887">
        <v>0.4</v>
      </c>
      <c r="G39" s="887">
        <v>25</v>
      </c>
      <c r="H39" s="880"/>
      <c r="I39" s="888">
        <f t="shared" si="0"/>
        <v>0</v>
      </c>
      <c r="J39" s="889"/>
    </row>
    <row r="40" spans="1:10">
      <c r="A40" s="877">
        <v>23</v>
      </c>
      <c r="B40" s="1302"/>
      <c r="C40" s="1276"/>
      <c r="D40" s="886" t="s">
        <v>1520</v>
      </c>
      <c r="E40" s="879"/>
      <c r="F40" s="887">
        <v>0.4</v>
      </c>
      <c r="G40" s="887">
        <v>25</v>
      </c>
      <c r="H40" s="880"/>
      <c r="I40" s="888">
        <f t="shared" si="0"/>
        <v>0</v>
      </c>
      <c r="J40" s="889"/>
    </row>
    <row r="41" spans="1:10">
      <c r="A41" s="877">
        <v>24</v>
      </c>
      <c r="B41" s="1302"/>
      <c r="C41" s="1276"/>
      <c r="D41" s="886" t="s">
        <v>1521</v>
      </c>
      <c r="E41" s="879"/>
      <c r="F41" s="887">
        <v>0.4</v>
      </c>
      <c r="G41" s="887">
        <v>25</v>
      </c>
      <c r="H41" s="880"/>
      <c r="I41" s="888">
        <f t="shared" si="0"/>
        <v>0</v>
      </c>
      <c r="J41" s="889"/>
    </row>
    <row r="42" spans="1:10">
      <c r="A42" s="877">
        <v>25</v>
      </c>
      <c r="B42" s="1302"/>
      <c r="C42" s="1276"/>
      <c r="D42" s="886" t="s">
        <v>1522</v>
      </c>
      <c r="E42" s="879"/>
      <c r="F42" s="887">
        <v>0.4</v>
      </c>
      <c r="G42" s="887">
        <v>30</v>
      </c>
      <c r="H42" s="880"/>
      <c r="I42" s="888">
        <f t="shared" si="0"/>
        <v>0</v>
      </c>
      <c r="J42" s="889"/>
    </row>
    <row r="43" spans="1:10">
      <c r="A43" s="877">
        <v>26</v>
      </c>
      <c r="B43" s="1302"/>
      <c r="C43" s="1276"/>
      <c r="D43" s="886" t="s">
        <v>1523</v>
      </c>
      <c r="E43" s="879"/>
      <c r="F43" s="887">
        <v>0.4</v>
      </c>
      <c r="G43" s="887">
        <v>25</v>
      </c>
      <c r="H43" s="880"/>
      <c r="I43" s="888">
        <f t="shared" si="0"/>
        <v>0</v>
      </c>
      <c r="J43" s="889"/>
    </row>
    <row r="44" spans="1:10">
      <c r="A44" s="877">
        <v>27</v>
      </c>
      <c r="B44" s="1302"/>
      <c r="C44" s="1276"/>
      <c r="D44" s="891" t="s">
        <v>1524</v>
      </c>
      <c r="E44" s="879"/>
      <c r="F44" s="887">
        <v>0.4</v>
      </c>
      <c r="G44" s="887">
        <v>25</v>
      </c>
      <c r="H44" s="880"/>
      <c r="I44" s="888">
        <f t="shared" si="0"/>
        <v>0</v>
      </c>
      <c r="J44" s="889"/>
    </row>
    <row r="45" spans="1:10">
      <c r="A45" s="877">
        <v>28</v>
      </c>
      <c r="B45" s="1302"/>
      <c r="C45" s="1276"/>
      <c r="D45" s="886" t="s">
        <v>1525</v>
      </c>
      <c r="E45" s="879"/>
      <c r="F45" s="887">
        <v>0.4</v>
      </c>
      <c r="G45" s="887">
        <v>25</v>
      </c>
      <c r="H45" s="880"/>
      <c r="I45" s="888">
        <f t="shared" si="0"/>
        <v>0</v>
      </c>
      <c r="J45" s="889"/>
    </row>
    <row r="46" spans="1:10">
      <c r="A46" s="877">
        <v>29</v>
      </c>
      <c r="B46" s="1302"/>
      <c r="C46" s="1276"/>
      <c r="D46" s="886" t="s">
        <v>1526</v>
      </c>
      <c r="E46" s="879"/>
      <c r="F46" s="887">
        <v>0.4</v>
      </c>
      <c r="G46" s="887">
        <v>30</v>
      </c>
      <c r="H46" s="880"/>
      <c r="I46" s="888">
        <f t="shared" si="0"/>
        <v>0</v>
      </c>
      <c r="J46" s="889"/>
    </row>
    <row r="47" spans="1:10">
      <c r="A47" s="877">
        <v>30</v>
      </c>
      <c r="B47" s="1302"/>
      <c r="C47" s="1276"/>
      <c r="D47" s="886" t="s">
        <v>1527</v>
      </c>
      <c r="E47" s="879"/>
      <c r="F47" s="887">
        <v>0.4</v>
      </c>
      <c r="G47" s="887">
        <v>30</v>
      </c>
      <c r="H47" s="880"/>
      <c r="I47" s="888">
        <f t="shared" si="0"/>
        <v>0</v>
      </c>
      <c r="J47" s="889"/>
    </row>
    <row r="48" spans="1:10">
      <c r="A48" s="877">
        <v>31</v>
      </c>
      <c r="B48" s="1302"/>
      <c r="C48" s="1276" t="s">
        <v>1528</v>
      </c>
      <c r="D48" s="886" t="s">
        <v>1518</v>
      </c>
      <c r="E48" s="879"/>
      <c r="F48" s="887">
        <v>0.4</v>
      </c>
      <c r="G48" s="887">
        <v>25</v>
      </c>
      <c r="H48" s="880"/>
      <c r="I48" s="888">
        <f t="shared" si="0"/>
        <v>0</v>
      </c>
      <c r="J48" s="889"/>
    </row>
    <row r="49" spans="1:10">
      <c r="A49" s="877">
        <v>32</v>
      </c>
      <c r="B49" s="1302"/>
      <c r="C49" s="1276"/>
      <c r="D49" s="886" t="s">
        <v>1519</v>
      </c>
      <c r="E49" s="879"/>
      <c r="F49" s="887">
        <v>0.4</v>
      </c>
      <c r="G49" s="887">
        <v>25</v>
      </c>
      <c r="H49" s="880"/>
      <c r="I49" s="888">
        <f t="shared" si="0"/>
        <v>0</v>
      </c>
      <c r="J49" s="889"/>
    </row>
    <row r="50" spans="1:10">
      <c r="A50" s="877">
        <v>33</v>
      </c>
      <c r="B50" s="1302"/>
      <c r="C50" s="1276"/>
      <c r="D50" s="886" t="s">
        <v>1520</v>
      </c>
      <c r="E50" s="879"/>
      <c r="F50" s="887">
        <v>0.4</v>
      </c>
      <c r="G50" s="887">
        <v>25</v>
      </c>
      <c r="H50" s="880"/>
      <c r="I50" s="888">
        <f t="shared" si="0"/>
        <v>0</v>
      </c>
      <c r="J50" s="889"/>
    </row>
    <row r="51" spans="1:10">
      <c r="A51" s="877">
        <v>34</v>
      </c>
      <c r="B51" s="1302"/>
      <c r="C51" s="1276"/>
      <c r="D51" s="886" t="s">
        <v>1521</v>
      </c>
      <c r="E51" s="879"/>
      <c r="F51" s="887">
        <v>0.4</v>
      </c>
      <c r="G51" s="887">
        <v>25</v>
      </c>
      <c r="H51" s="880"/>
      <c r="I51" s="888">
        <f t="shared" si="0"/>
        <v>0</v>
      </c>
      <c r="J51" s="889"/>
    </row>
    <row r="52" spans="1:10">
      <c r="A52" s="877">
        <v>35</v>
      </c>
      <c r="B52" s="1302"/>
      <c r="C52" s="1276"/>
      <c r="D52" s="886" t="s">
        <v>1522</v>
      </c>
      <c r="E52" s="879"/>
      <c r="F52" s="887">
        <v>0.4</v>
      </c>
      <c r="G52" s="887">
        <v>30</v>
      </c>
      <c r="H52" s="880"/>
      <c r="I52" s="888">
        <f t="shared" si="0"/>
        <v>0</v>
      </c>
      <c r="J52" s="889"/>
    </row>
    <row r="53" spans="1:10">
      <c r="A53" s="877">
        <v>36</v>
      </c>
      <c r="B53" s="1302"/>
      <c r="C53" s="1276"/>
      <c r="D53" s="886" t="s">
        <v>1523</v>
      </c>
      <c r="E53" s="879"/>
      <c r="F53" s="887">
        <v>0.4</v>
      </c>
      <c r="G53" s="887">
        <v>25</v>
      </c>
      <c r="H53" s="880"/>
      <c r="I53" s="888">
        <f t="shared" si="0"/>
        <v>0</v>
      </c>
      <c r="J53" s="889"/>
    </row>
    <row r="54" spans="1:10">
      <c r="A54" s="877">
        <v>37</v>
      </c>
      <c r="B54" s="1302"/>
      <c r="C54" s="1276"/>
      <c r="D54" s="891" t="s">
        <v>1524</v>
      </c>
      <c r="E54" s="879"/>
      <c r="F54" s="887">
        <v>0.4</v>
      </c>
      <c r="G54" s="887">
        <v>25</v>
      </c>
      <c r="H54" s="880"/>
      <c r="I54" s="888">
        <f t="shared" si="0"/>
        <v>0</v>
      </c>
      <c r="J54" s="889"/>
    </row>
    <row r="55" spans="1:10">
      <c r="A55" s="877">
        <v>38</v>
      </c>
      <c r="B55" s="1302"/>
      <c r="C55" s="1276"/>
      <c r="D55" s="886" t="s">
        <v>1525</v>
      </c>
      <c r="E55" s="879"/>
      <c r="F55" s="887">
        <v>0.4</v>
      </c>
      <c r="G55" s="887">
        <v>25</v>
      </c>
      <c r="H55" s="880"/>
      <c r="I55" s="888">
        <f t="shared" si="0"/>
        <v>0</v>
      </c>
      <c r="J55" s="889"/>
    </row>
    <row r="56" spans="1:10">
      <c r="A56" s="877">
        <v>39</v>
      </c>
      <c r="B56" s="1302"/>
      <c r="C56" s="1276"/>
      <c r="D56" s="886" t="s">
        <v>1526</v>
      </c>
      <c r="E56" s="879"/>
      <c r="F56" s="887">
        <v>0.4</v>
      </c>
      <c r="G56" s="887">
        <v>30</v>
      </c>
      <c r="H56" s="880"/>
      <c r="I56" s="888">
        <f t="shared" si="0"/>
        <v>0</v>
      </c>
      <c r="J56" s="889"/>
    </row>
    <row r="57" spans="1:10">
      <c r="A57" s="877">
        <v>40</v>
      </c>
      <c r="B57" s="1302"/>
      <c r="C57" s="1276"/>
      <c r="D57" s="886" t="s">
        <v>1527</v>
      </c>
      <c r="E57" s="879"/>
      <c r="F57" s="887">
        <v>0.4</v>
      </c>
      <c r="G57" s="887">
        <v>30</v>
      </c>
      <c r="H57" s="880"/>
      <c r="I57" s="888">
        <f t="shared" si="0"/>
        <v>0</v>
      </c>
      <c r="J57" s="889"/>
    </row>
    <row r="58" spans="1:10">
      <c r="A58" s="877">
        <v>41</v>
      </c>
      <c r="B58" s="1302"/>
      <c r="C58" s="869" t="s">
        <v>1529</v>
      </c>
      <c r="D58" s="890" t="s">
        <v>1530</v>
      </c>
      <c r="E58" s="879"/>
      <c r="F58" s="887">
        <v>0.4</v>
      </c>
      <c r="G58" s="887">
        <v>25</v>
      </c>
      <c r="H58" s="880"/>
      <c r="I58" s="888">
        <f t="shared" si="0"/>
        <v>0</v>
      </c>
      <c r="J58" s="889"/>
    </row>
    <row r="59" spans="1:10">
      <c r="A59" s="877">
        <v>42</v>
      </c>
      <c r="B59" s="1302"/>
      <c r="C59" s="869" t="s">
        <v>1531</v>
      </c>
      <c r="D59" s="892" t="s">
        <v>472</v>
      </c>
      <c r="E59" s="879"/>
      <c r="F59" s="887">
        <v>0.4</v>
      </c>
      <c r="G59" s="887">
        <v>25</v>
      </c>
      <c r="H59" s="880"/>
      <c r="I59" s="888">
        <f t="shared" si="0"/>
        <v>0</v>
      </c>
      <c r="J59" s="889"/>
    </row>
    <row r="60" spans="1:10">
      <c r="A60" s="877">
        <v>43</v>
      </c>
      <c r="B60" s="1302"/>
      <c r="C60" s="893" t="s">
        <v>1532</v>
      </c>
      <c r="D60" s="890" t="s">
        <v>1533</v>
      </c>
      <c r="E60" s="879"/>
      <c r="F60" s="887">
        <v>0.4</v>
      </c>
      <c r="G60" s="887">
        <v>20</v>
      </c>
      <c r="H60" s="880"/>
      <c r="I60" s="888">
        <f t="shared" si="0"/>
        <v>0</v>
      </c>
      <c r="J60" s="889"/>
    </row>
    <row r="61" spans="1:10" ht="16.5" customHeight="1">
      <c r="A61" s="877">
        <v>44</v>
      </c>
      <c r="B61" s="1302" t="s">
        <v>1534</v>
      </c>
      <c r="C61" s="894" t="s">
        <v>1535</v>
      </c>
      <c r="D61" s="895" t="s">
        <v>1536</v>
      </c>
      <c r="E61" s="879"/>
      <c r="F61" s="896">
        <v>1</v>
      </c>
      <c r="G61" s="881" t="s">
        <v>1488</v>
      </c>
      <c r="H61" s="880"/>
      <c r="I61" s="888">
        <f>E61*(F61*H61)</f>
        <v>0</v>
      </c>
      <c r="J61" s="889"/>
    </row>
    <row r="62" spans="1:10" ht="33">
      <c r="A62" s="877">
        <v>45</v>
      </c>
      <c r="B62" s="1302"/>
      <c r="C62" s="897" t="s">
        <v>1537</v>
      </c>
      <c r="D62" s="898" t="s">
        <v>1538</v>
      </c>
      <c r="E62" s="879"/>
      <c r="F62" s="896">
        <v>1</v>
      </c>
      <c r="G62" s="881" t="s">
        <v>1488</v>
      </c>
      <c r="H62" s="880"/>
      <c r="I62" s="888">
        <f t="shared" ref="I62:I97" si="1">E62*(F62*H62)</f>
        <v>0</v>
      </c>
      <c r="J62" s="889"/>
    </row>
    <row r="63" spans="1:10">
      <c r="A63" s="877">
        <v>46</v>
      </c>
      <c r="B63" s="1302"/>
      <c r="C63" s="1303" t="s">
        <v>1539</v>
      </c>
      <c r="D63" s="899" t="s">
        <v>1540</v>
      </c>
      <c r="E63" s="879"/>
      <c r="F63" s="896">
        <v>0.8</v>
      </c>
      <c r="G63" s="881" t="s">
        <v>1488</v>
      </c>
      <c r="H63" s="880"/>
      <c r="I63" s="888">
        <f t="shared" si="1"/>
        <v>0</v>
      </c>
      <c r="J63" s="889"/>
    </row>
    <row r="64" spans="1:10">
      <c r="A64" s="877">
        <v>47</v>
      </c>
      <c r="B64" s="1302"/>
      <c r="C64" s="1303"/>
      <c r="D64" s="899" t="s">
        <v>1541</v>
      </c>
      <c r="E64" s="879"/>
      <c r="F64" s="896">
        <v>0.8</v>
      </c>
      <c r="G64" s="881" t="s">
        <v>1488</v>
      </c>
      <c r="H64" s="880"/>
      <c r="I64" s="888">
        <f t="shared" si="1"/>
        <v>0</v>
      </c>
      <c r="J64" s="889"/>
    </row>
    <row r="65" spans="1:10">
      <c r="A65" s="877">
        <v>48</v>
      </c>
      <c r="B65" s="1302"/>
      <c r="C65" s="1303"/>
      <c r="D65" s="899" t="s">
        <v>1542</v>
      </c>
      <c r="E65" s="879"/>
      <c r="F65" s="896">
        <v>0.8</v>
      </c>
      <c r="G65" s="881" t="s">
        <v>1488</v>
      </c>
      <c r="H65" s="880"/>
      <c r="I65" s="888">
        <f t="shared" si="1"/>
        <v>0</v>
      </c>
      <c r="J65" s="889"/>
    </row>
    <row r="66" spans="1:10">
      <c r="A66" s="877">
        <v>49</v>
      </c>
      <c r="B66" s="1302"/>
      <c r="C66" s="1303"/>
      <c r="D66" s="899" t="s">
        <v>1543</v>
      </c>
      <c r="E66" s="879"/>
      <c r="F66" s="896">
        <v>0.8</v>
      </c>
      <c r="G66" s="881" t="s">
        <v>1488</v>
      </c>
      <c r="H66" s="880"/>
      <c r="I66" s="888">
        <f t="shared" si="1"/>
        <v>0</v>
      </c>
      <c r="J66" s="889"/>
    </row>
    <row r="67" spans="1:10">
      <c r="A67" s="877">
        <v>50</v>
      </c>
      <c r="B67" s="1302"/>
      <c r="C67" s="1303"/>
      <c r="D67" s="899" t="s">
        <v>1544</v>
      </c>
      <c r="E67" s="879"/>
      <c r="F67" s="896">
        <v>0.8</v>
      </c>
      <c r="G67" s="881" t="s">
        <v>1488</v>
      </c>
      <c r="H67" s="880"/>
      <c r="I67" s="888">
        <f t="shared" si="1"/>
        <v>0</v>
      </c>
      <c r="J67" s="889"/>
    </row>
    <row r="68" spans="1:10">
      <c r="A68" s="877">
        <v>51</v>
      </c>
      <c r="B68" s="1302"/>
      <c r="C68" s="1303"/>
      <c r="D68" s="899" t="s">
        <v>1545</v>
      </c>
      <c r="E68" s="879"/>
      <c r="F68" s="896">
        <v>0.8</v>
      </c>
      <c r="G68" s="881" t="s">
        <v>1488</v>
      </c>
      <c r="H68" s="880"/>
      <c r="I68" s="888">
        <f t="shared" si="1"/>
        <v>0</v>
      </c>
      <c r="J68" s="889"/>
    </row>
    <row r="69" spans="1:10">
      <c r="A69" s="877">
        <v>52</v>
      </c>
      <c r="B69" s="1302"/>
      <c r="C69" s="1303"/>
      <c r="D69" s="899" t="s">
        <v>1544</v>
      </c>
      <c r="E69" s="879"/>
      <c r="F69" s="896">
        <v>0.8</v>
      </c>
      <c r="G69" s="881" t="s">
        <v>1488</v>
      </c>
      <c r="H69" s="880"/>
      <c r="I69" s="888">
        <f t="shared" si="1"/>
        <v>0</v>
      </c>
      <c r="J69" s="889"/>
    </row>
    <row r="70" spans="1:10">
      <c r="A70" s="877">
        <v>53</v>
      </c>
      <c r="B70" s="1302"/>
      <c r="C70" s="1303" t="s">
        <v>1546</v>
      </c>
      <c r="D70" s="900" t="s">
        <v>1547</v>
      </c>
      <c r="E70" s="879"/>
      <c r="F70" s="896">
        <v>0.8</v>
      </c>
      <c r="G70" s="881" t="s">
        <v>1488</v>
      </c>
      <c r="H70" s="880"/>
      <c r="I70" s="888">
        <f t="shared" si="1"/>
        <v>0</v>
      </c>
      <c r="J70" s="889"/>
    </row>
    <row r="71" spans="1:10">
      <c r="A71" s="877">
        <v>54</v>
      </c>
      <c r="B71" s="1302"/>
      <c r="C71" s="1303"/>
      <c r="D71" s="900" t="s">
        <v>1548</v>
      </c>
      <c r="E71" s="879"/>
      <c r="F71" s="896">
        <v>0.8</v>
      </c>
      <c r="G71" s="881" t="s">
        <v>1488</v>
      </c>
      <c r="H71" s="880"/>
      <c r="I71" s="888">
        <f t="shared" si="1"/>
        <v>0</v>
      </c>
      <c r="J71" s="889"/>
    </row>
    <row r="72" spans="1:10">
      <c r="A72" s="877">
        <v>55</v>
      </c>
      <c r="B72" s="1302"/>
      <c r="C72" s="1303"/>
      <c r="D72" s="900" t="s">
        <v>1549</v>
      </c>
      <c r="E72" s="879"/>
      <c r="F72" s="896">
        <v>0.8</v>
      </c>
      <c r="G72" s="881" t="s">
        <v>1488</v>
      </c>
      <c r="H72" s="880"/>
      <c r="I72" s="888">
        <f t="shared" si="1"/>
        <v>0</v>
      </c>
      <c r="J72" s="889"/>
    </row>
    <row r="73" spans="1:10">
      <c r="A73" s="877">
        <v>56</v>
      </c>
      <c r="B73" s="1302"/>
      <c r="C73" s="1303"/>
      <c r="D73" s="900" t="s">
        <v>1550</v>
      </c>
      <c r="E73" s="879"/>
      <c r="F73" s="896">
        <v>0.8</v>
      </c>
      <c r="G73" s="881" t="s">
        <v>1488</v>
      </c>
      <c r="H73" s="880"/>
      <c r="I73" s="888">
        <f t="shared" si="1"/>
        <v>0</v>
      </c>
      <c r="J73" s="889"/>
    </row>
    <row r="74" spans="1:10">
      <c r="A74" s="877">
        <v>57</v>
      </c>
      <c r="B74" s="1302"/>
      <c r="C74" s="1303"/>
      <c r="D74" s="899" t="s">
        <v>1551</v>
      </c>
      <c r="E74" s="879"/>
      <c r="F74" s="896">
        <v>0.8</v>
      </c>
      <c r="G74" s="881" t="s">
        <v>1488</v>
      </c>
      <c r="H74" s="880"/>
      <c r="I74" s="888">
        <f t="shared" si="1"/>
        <v>0</v>
      </c>
      <c r="J74" s="889"/>
    </row>
    <row r="75" spans="1:10">
      <c r="A75" s="877">
        <v>58</v>
      </c>
      <c r="B75" s="1302"/>
      <c r="C75" s="1303"/>
      <c r="D75" s="899" t="s">
        <v>1552</v>
      </c>
      <c r="E75" s="879"/>
      <c r="F75" s="896">
        <v>0.8</v>
      </c>
      <c r="G75" s="881" t="s">
        <v>1488</v>
      </c>
      <c r="H75" s="880"/>
      <c r="I75" s="888">
        <f t="shared" si="1"/>
        <v>0</v>
      </c>
      <c r="J75" s="889"/>
    </row>
    <row r="76" spans="1:10">
      <c r="A76" s="877">
        <v>59</v>
      </c>
      <c r="B76" s="1302"/>
      <c r="C76" s="1304" t="s">
        <v>1553</v>
      </c>
      <c r="D76" s="901" t="s">
        <v>1554</v>
      </c>
      <c r="E76" s="879"/>
      <c r="F76" s="896">
        <v>0.8</v>
      </c>
      <c r="G76" s="881" t="s">
        <v>1488</v>
      </c>
      <c r="H76" s="880"/>
      <c r="I76" s="888">
        <f t="shared" si="1"/>
        <v>0</v>
      </c>
      <c r="J76" s="889"/>
    </row>
    <row r="77" spans="1:10">
      <c r="A77" s="877">
        <v>60</v>
      </c>
      <c r="B77" s="1302"/>
      <c r="C77" s="1304"/>
      <c r="D77" s="901" t="s">
        <v>1555</v>
      </c>
      <c r="E77" s="879"/>
      <c r="F77" s="896">
        <v>0.8</v>
      </c>
      <c r="G77" s="881" t="s">
        <v>1488</v>
      </c>
      <c r="H77" s="880"/>
      <c r="I77" s="888">
        <f t="shared" si="1"/>
        <v>0</v>
      </c>
      <c r="J77" s="889"/>
    </row>
    <row r="78" spans="1:10">
      <c r="A78" s="877">
        <v>61</v>
      </c>
      <c r="B78" s="1302"/>
      <c r="C78" s="1304"/>
      <c r="D78" s="901" t="s">
        <v>1556</v>
      </c>
      <c r="E78" s="879"/>
      <c r="F78" s="896">
        <v>0.8</v>
      </c>
      <c r="G78" s="881" t="s">
        <v>1488</v>
      </c>
      <c r="H78" s="880"/>
      <c r="I78" s="888">
        <f t="shared" si="1"/>
        <v>0</v>
      </c>
      <c r="J78" s="889"/>
    </row>
    <row r="79" spans="1:10">
      <c r="A79" s="877">
        <v>62</v>
      </c>
      <c r="B79" s="1302"/>
      <c r="C79" s="1304"/>
      <c r="D79" s="901" t="s">
        <v>1557</v>
      </c>
      <c r="E79" s="879"/>
      <c r="F79" s="896">
        <v>0.8</v>
      </c>
      <c r="G79" s="881" t="s">
        <v>1488</v>
      </c>
      <c r="H79" s="880"/>
      <c r="I79" s="888">
        <f t="shared" si="1"/>
        <v>0</v>
      </c>
      <c r="J79" s="889"/>
    </row>
    <row r="80" spans="1:10">
      <c r="A80" s="877">
        <v>63</v>
      </c>
      <c r="B80" s="1302"/>
      <c r="C80" s="878" t="s">
        <v>1558</v>
      </c>
      <c r="D80" s="902" t="s">
        <v>1559</v>
      </c>
      <c r="E80" s="879"/>
      <c r="F80" s="896">
        <v>0.8</v>
      </c>
      <c r="G80" s="881" t="s">
        <v>1488</v>
      </c>
      <c r="H80" s="880"/>
      <c r="I80" s="888">
        <f t="shared" si="1"/>
        <v>0</v>
      </c>
      <c r="J80" s="889"/>
    </row>
    <row r="81" spans="1:10">
      <c r="A81" s="877">
        <v>64</v>
      </c>
      <c r="B81" s="1302"/>
      <c r="C81" s="903" t="s">
        <v>1560</v>
      </c>
      <c r="D81" s="904" t="s">
        <v>1561</v>
      </c>
      <c r="E81" s="879"/>
      <c r="F81" s="896">
        <v>0.8</v>
      </c>
      <c r="G81" s="881" t="s">
        <v>1488</v>
      </c>
      <c r="H81" s="880"/>
      <c r="I81" s="888">
        <f t="shared" si="1"/>
        <v>0</v>
      </c>
      <c r="J81" s="889"/>
    </row>
    <row r="82" spans="1:10">
      <c r="A82" s="877">
        <v>65</v>
      </c>
      <c r="B82" s="1302"/>
      <c r="C82" s="1304" t="s">
        <v>1562</v>
      </c>
      <c r="D82" s="904" t="s">
        <v>1563</v>
      </c>
      <c r="E82" s="879"/>
      <c r="F82" s="905" t="s">
        <v>1488</v>
      </c>
      <c r="G82" s="881" t="s">
        <v>1488</v>
      </c>
      <c r="H82" s="880"/>
      <c r="I82" s="888">
        <f>E82*2</f>
        <v>0</v>
      </c>
      <c r="J82" s="889"/>
    </row>
    <row r="83" spans="1:10">
      <c r="A83" s="877">
        <v>66</v>
      </c>
      <c r="B83" s="1302"/>
      <c r="C83" s="1304"/>
      <c r="D83" s="904" t="s">
        <v>1564</v>
      </c>
      <c r="E83" s="879"/>
      <c r="F83" s="905" t="s">
        <v>1488</v>
      </c>
      <c r="G83" s="881" t="s">
        <v>1488</v>
      </c>
      <c r="H83" s="880"/>
      <c r="I83" s="888">
        <f>E83*5</f>
        <v>0</v>
      </c>
      <c r="J83" s="889"/>
    </row>
    <row r="84" spans="1:10">
      <c r="A84" s="877">
        <v>67</v>
      </c>
      <c r="B84" s="1302"/>
      <c r="C84" s="1304" t="s">
        <v>1565</v>
      </c>
      <c r="D84" s="904" t="s">
        <v>1566</v>
      </c>
      <c r="E84" s="879"/>
      <c r="F84" s="896">
        <v>1</v>
      </c>
      <c r="G84" s="881" t="s">
        <v>1488</v>
      </c>
      <c r="H84" s="880"/>
      <c r="I84" s="888">
        <f>E84*(H84*F84)</f>
        <v>0</v>
      </c>
      <c r="J84" s="889"/>
    </row>
    <row r="85" spans="1:10">
      <c r="A85" s="877">
        <v>68</v>
      </c>
      <c r="B85" s="1302"/>
      <c r="C85" s="1304"/>
      <c r="D85" s="904" t="s">
        <v>1567</v>
      </c>
      <c r="E85" s="879"/>
      <c r="F85" s="896">
        <v>1</v>
      </c>
      <c r="G85" s="881" t="s">
        <v>1488</v>
      </c>
      <c r="H85" s="880"/>
      <c r="I85" s="888">
        <f>E85*(H85*F85)</f>
        <v>0</v>
      </c>
      <c r="J85" s="889"/>
    </row>
    <row r="86" spans="1:10">
      <c r="A86" s="877">
        <v>69</v>
      </c>
      <c r="B86" s="1302"/>
      <c r="C86" s="1303" t="s">
        <v>1568</v>
      </c>
      <c r="D86" s="906" t="s">
        <v>1569</v>
      </c>
      <c r="E86" s="879"/>
      <c r="F86" s="896">
        <v>0.8</v>
      </c>
      <c r="G86" s="881" t="s">
        <v>1488</v>
      </c>
      <c r="H86" s="880"/>
      <c r="I86" s="888">
        <f t="shared" si="1"/>
        <v>0</v>
      </c>
      <c r="J86" s="889"/>
    </row>
    <row r="87" spans="1:10">
      <c r="A87" s="877">
        <v>70</v>
      </c>
      <c r="B87" s="1302"/>
      <c r="C87" s="1303"/>
      <c r="D87" s="906" t="s">
        <v>1570</v>
      </c>
      <c r="E87" s="879"/>
      <c r="F87" s="896">
        <v>0.8</v>
      </c>
      <c r="G87" s="881" t="s">
        <v>1488</v>
      </c>
      <c r="H87" s="880"/>
      <c r="I87" s="888">
        <f t="shared" si="1"/>
        <v>0</v>
      </c>
      <c r="J87" s="889"/>
    </row>
    <row r="88" spans="1:10">
      <c r="A88" s="877">
        <v>71</v>
      </c>
      <c r="B88" s="1302"/>
      <c r="C88" s="1303"/>
      <c r="D88" s="906" t="s">
        <v>1571</v>
      </c>
      <c r="E88" s="879"/>
      <c r="F88" s="896">
        <v>0.8</v>
      </c>
      <c r="G88" s="881" t="s">
        <v>1488</v>
      </c>
      <c r="H88" s="880"/>
      <c r="I88" s="888">
        <f t="shared" si="1"/>
        <v>0</v>
      </c>
      <c r="J88" s="889"/>
    </row>
    <row r="89" spans="1:10">
      <c r="A89" s="877">
        <v>72</v>
      </c>
      <c r="B89" s="1302"/>
      <c r="C89" s="1303"/>
      <c r="D89" s="906" t="s">
        <v>1572</v>
      </c>
      <c r="E89" s="879"/>
      <c r="F89" s="896">
        <v>0.8</v>
      </c>
      <c r="G89" s="881" t="s">
        <v>1488</v>
      </c>
      <c r="H89" s="880"/>
      <c r="I89" s="888">
        <f t="shared" si="1"/>
        <v>0</v>
      </c>
      <c r="J89" s="889"/>
    </row>
    <row r="90" spans="1:10">
      <c r="A90" s="877">
        <v>73</v>
      </c>
      <c r="B90" s="1302"/>
      <c r="C90" s="897" t="s">
        <v>1573</v>
      </c>
      <c r="D90" s="907" t="s">
        <v>1574</v>
      </c>
      <c r="E90" s="879"/>
      <c r="F90" s="896">
        <v>1</v>
      </c>
      <c r="G90" s="881" t="s">
        <v>1488</v>
      </c>
      <c r="H90" s="880"/>
      <c r="I90" s="888">
        <f t="shared" si="1"/>
        <v>0</v>
      </c>
      <c r="J90" s="889"/>
    </row>
    <row r="91" spans="1:10">
      <c r="A91" s="877">
        <v>74</v>
      </c>
      <c r="B91" s="1302"/>
      <c r="C91" s="908" t="s">
        <v>1575</v>
      </c>
      <c r="D91" s="907" t="s">
        <v>1576</v>
      </c>
      <c r="E91" s="879"/>
      <c r="F91" s="896">
        <v>1</v>
      </c>
      <c r="G91" s="881" t="s">
        <v>1488</v>
      </c>
      <c r="H91" s="880"/>
      <c r="I91" s="888">
        <f t="shared" si="1"/>
        <v>0</v>
      </c>
      <c r="J91" s="889"/>
    </row>
    <row r="92" spans="1:10">
      <c r="A92" s="877">
        <v>88</v>
      </c>
      <c r="B92" s="1302"/>
      <c r="C92" s="1305" t="s">
        <v>1577</v>
      </c>
      <c r="D92" s="909" t="s">
        <v>1578</v>
      </c>
      <c r="E92" s="879"/>
      <c r="F92" s="896">
        <v>0.8</v>
      </c>
      <c r="G92" s="881" t="s">
        <v>1488</v>
      </c>
      <c r="H92" s="880"/>
      <c r="I92" s="888">
        <f t="shared" si="1"/>
        <v>0</v>
      </c>
      <c r="J92" s="889"/>
    </row>
    <row r="93" spans="1:10">
      <c r="A93" s="877">
        <v>89</v>
      </c>
      <c r="B93" s="1302"/>
      <c r="C93" s="1305"/>
      <c r="D93" s="906" t="s">
        <v>1579</v>
      </c>
      <c r="E93" s="879"/>
      <c r="F93" s="896">
        <v>0.8</v>
      </c>
      <c r="G93" s="881" t="s">
        <v>1488</v>
      </c>
      <c r="H93" s="880"/>
      <c r="I93" s="888">
        <f t="shared" si="1"/>
        <v>0</v>
      </c>
      <c r="J93" s="889"/>
    </row>
    <row r="94" spans="1:10">
      <c r="A94" s="877">
        <v>90</v>
      </c>
      <c r="B94" s="1302"/>
      <c r="C94" s="1305" t="s">
        <v>1580</v>
      </c>
      <c r="D94" s="909" t="s">
        <v>1578</v>
      </c>
      <c r="E94" s="879"/>
      <c r="F94" s="896">
        <v>0.8</v>
      </c>
      <c r="G94" s="881" t="s">
        <v>1488</v>
      </c>
      <c r="H94" s="880"/>
      <c r="I94" s="888">
        <f t="shared" si="1"/>
        <v>0</v>
      </c>
      <c r="J94" s="889"/>
    </row>
    <row r="95" spans="1:10">
      <c r="A95" s="877">
        <v>91</v>
      </c>
      <c r="B95" s="1302"/>
      <c r="C95" s="1305"/>
      <c r="D95" s="906" t="s">
        <v>1579</v>
      </c>
      <c r="E95" s="879"/>
      <c r="F95" s="896">
        <v>0.8</v>
      </c>
      <c r="G95" s="881" t="s">
        <v>1488</v>
      </c>
      <c r="H95" s="880"/>
      <c r="I95" s="888">
        <f t="shared" si="1"/>
        <v>0</v>
      </c>
      <c r="J95" s="889"/>
    </row>
    <row r="96" spans="1:10">
      <c r="A96" s="877">
        <v>92</v>
      </c>
      <c r="B96" s="1302"/>
      <c r="C96" s="1305" t="s">
        <v>1581</v>
      </c>
      <c r="D96" s="909" t="s">
        <v>1578</v>
      </c>
      <c r="E96" s="879"/>
      <c r="F96" s="896">
        <v>0.8</v>
      </c>
      <c r="G96" s="881" t="s">
        <v>1488</v>
      </c>
      <c r="H96" s="880"/>
      <c r="I96" s="888">
        <f t="shared" si="1"/>
        <v>0</v>
      </c>
      <c r="J96" s="889"/>
    </row>
    <row r="97" spans="1:10">
      <c r="A97" s="877">
        <v>93</v>
      </c>
      <c r="B97" s="1302"/>
      <c r="C97" s="1305"/>
      <c r="D97" s="906" t="s">
        <v>1579</v>
      </c>
      <c r="E97" s="879"/>
      <c r="F97" s="896">
        <v>0.8</v>
      </c>
      <c r="G97" s="881" t="s">
        <v>1488</v>
      </c>
      <c r="H97" s="880"/>
      <c r="I97" s="888">
        <f t="shared" si="1"/>
        <v>0</v>
      </c>
      <c r="J97" s="889"/>
    </row>
    <row r="98" spans="1:10" ht="18" customHeight="1">
      <c r="A98" s="877">
        <v>75</v>
      </c>
      <c r="B98" s="1309" t="s">
        <v>1582</v>
      </c>
      <c r="C98" s="1312" t="s">
        <v>1583</v>
      </c>
      <c r="D98" s="909" t="s">
        <v>1584</v>
      </c>
      <c r="E98" s="879"/>
      <c r="F98" s="896">
        <v>2</v>
      </c>
      <c r="G98" s="881" t="s">
        <v>1488</v>
      </c>
      <c r="H98" s="880"/>
      <c r="I98" s="888">
        <f>E98*(H98*F98)</f>
        <v>0</v>
      </c>
      <c r="J98" s="889"/>
    </row>
    <row r="99" spans="1:10">
      <c r="A99" s="877">
        <v>76</v>
      </c>
      <c r="B99" s="1310"/>
      <c r="C99" s="1312"/>
      <c r="D99" s="909" t="s">
        <v>1585</v>
      </c>
      <c r="E99" s="879"/>
      <c r="F99" s="896">
        <v>2</v>
      </c>
      <c r="G99" s="881" t="s">
        <v>1488</v>
      </c>
      <c r="H99" s="880"/>
      <c r="I99" s="888">
        <f>E99*(F99*H99)</f>
        <v>0</v>
      </c>
      <c r="J99" s="889"/>
    </row>
    <row r="100" spans="1:10">
      <c r="A100" s="877">
        <v>77</v>
      </c>
      <c r="B100" s="1310"/>
      <c r="C100" s="1312" t="s">
        <v>1586</v>
      </c>
      <c r="D100" s="909" t="s">
        <v>1587</v>
      </c>
      <c r="E100" s="879"/>
      <c r="F100" s="896">
        <v>2</v>
      </c>
      <c r="G100" s="881" t="s">
        <v>1488</v>
      </c>
      <c r="H100" s="880"/>
      <c r="I100" s="888">
        <f>E100*(F100*H100)</f>
        <v>0</v>
      </c>
      <c r="J100" s="889"/>
    </row>
    <row r="101" spans="1:10" ht="33">
      <c r="A101" s="877">
        <v>78</v>
      </c>
      <c r="B101" s="1310"/>
      <c r="C101" s="1312"/>
      <c r="D101" s="909" t="s">
        <v>1588</v>
      </c>
      <c r="E101" s="879"/>
      <c r="F101" s="896">
        <v>2</v>
      </c>
      <c r="G101" s="881" t="s">
        <v>1488</v>
      </c>
      <c r="H101" s="880"/>
      <c r="I101" s="888">
        <f>E101*(F101*H101)</f>
        <v>0</v>
      </c>
      <c r="J101" s="889"/>
    </row>
    <row r="102" spans="1:10">
      <c r="A102" s="877">
        <v>79</v>
      </c>
      <c r="B102" s="1310"/>
      <c r="C102" s="1305" t="s">
        <v>1589</v>
      </c>
      <c r="D102" s="909" t="s">
        <v>1590</v>
      </c>
      <c r="E102" s="879"/>
      <c r="F102" s="896">
        <v>2</v>
      </c>
      <c r="G102" s="881" t="s">
        <v>1488</v>
      </c>
      <c r="H102" s="880"/>
      <c r="I102" s="888">
        <f t="shared" ref="I102:I114" si="2">E102*(F102*H102)</f>
        <v>0</v>
      </c>
      <c r="J102" s="889"/>
    </row>
    <row r="103" spans="1:10">
      <c r="A103" s="877">
        <v>80</v>
      </c>
      <c r="B103" s="1310"/>
      <c r="C103" s="1305"/>
      <c r="D103" s="909" t="s">
        <v>1591</v>
      </c>
      <c r="E103" s="879"/>
      <c r="F103" s="896">
        <v>2</v>
      </c>
      <c r="G103" s="881" t="s">
        <v>1488</v>
      </c>
      <c r="H103" s="880"/>
      <c r="I103" s="888">
        <f t="shared" si="2"/>
        <v>0</v>
      </c>
      <c r="J103" s="889"/>
    </row>
    <row r="104" spans="1:10">
      <c r="A104" s="877">
        <v>81</v>
      </c>
      <c r="B104" s="1310"/>
      <c r="C104" s="1305"/>
      <c r="D104" s="909" t="s">
        <v>1592</v>
      </c>
      <c r="E104" s="879"/>
      <c r="F104" s="896">
        <v>2</v>
      </c>
      <c r="G104" s="881" t="s">
        <v>1488</v>
      </c>
      <c r="H104" s="880"/>
      <c r="I104" s="888">
        <f t="shared" si="2"/>
        <v>0</v>
      </c>
      <c r="J104" s="889"/>
    </row>
    <row r="105" spans="1:10">
      <c r="A105" s="877">
        <v>82</v>
      </c>
      <c r="B105" s="1310"/>
      <c r="C105" s="1305"/>
      <c r="D105" s="909" t="s">
        <v>1593</v>
      </c>
      <c r="E105" s="879"/>
      <c r="F105" s="896">
        <v>2</v>
      </c>
      <c r="G105" s="881" t="s">
        <v>1488</v>
      </c>
      <c r="H105" s="880"/>
      <c r="I105" s="888">
        <f t="shared" si="2"/>
        <v>0</v>
      </c>
      <c r="J105" s="889"/>
    </row>
    <row r="106" spans="1:10" ht="33">
      <c r="A106" s="877">
        <v>83</v>
      </c>
      <c r="B106" s="1310"/>
      <c r="C106" s="1305"/>
      <c r="D106" s="909" t="s">
        <v>1594</v>
      </c>
      <c r="E106" s="879"/>
      <c r="F106" s="896">
        <v>2</v>
      </c>
      <c r="G106" s="881" t="s">
        <v>1488</v>
      </c>
      <c r="H106" s="880"/>
      <c r="I106" s="888">
        <f t="shared" si="2"/>
        <v>0</v>
      </c>
      <c r="J106" s="889"/>
    </row>
    <row r="107" spans="1:10">
      <c r="A107" s="877">
        <v>84</v>
      </c>
      <c r="B107" s="1310"/>
      <c r="C107" s="1305"/>
      <c r="D107" s="909" t="s">
        <v>1595</v>
      </c>
      <c r="E107" s="879"/>
      <c r="F107" s="896">
        <v>2</v>
      </c>
      <c r="G107" s="881" t="s">
        <v>1488</v>
      </c>
      <c r="H107" s="880"/>
      <c r="I107" s="888">
        <f t="shared" si="2"/>
        <v>0</v>
      </c>
      <c r="J107" s="889"/>
    </row>
    <row r="108" spans="1:10">
      <c r="A108" s="877">
        <v>85</v>
      </c>
      <c r="B108" s="1310"/>
      <c r="C108" s="1305"/>
      <c r="D108" s="909" t="s">
        <v>1596</v>
      </c>
      <c r="E108" s="879"/>
      <c r="F108" s="896">
        <v>2</v>
      </c>
      <c r="G108" s="881" t="s">
        <v>1488</v>
      </c>
      <c r="H108" s="880"/>
      <c r="I108" s="888">
        <f t="shared" si="2"/>
        <v>0</v>
      </c>
      <c r="J108" s="889"/>
    </row>
    <row r="109" spans="1:10">
      <c r="A109" s="877">
        <v>86</v>
      </c>
      <c r="B109" s="1310"/>
      <c r="C109" s="1305"/>
      <c r="D109" s="909" t="s">
        <v>1597</v>
      </c>
      <c r="E109" s="879"/>
      <c r="F109" s="896">
        <v>2</v>
      </c>
      <c r="G109" s="881" t="s">
        <v>1488</v>
      </c>
      <c r="H109" s="880"/>
      <c r="I109" s="888">
        <f t="shared" si="2"/>
        <v>0</v>
      </c>
      <c r="J109" s="889"/>
    </row>
    <row r="110" spans="1:10">
      <c r="A110" s="877">
        <v>87</v>
      </c>
      <c r="B110" s="1310"/>
      <c r="C110" s="1305"/>
      <c r="D110" s="909" t="s">
        <v>1598</v>
      </c>
      <c r="E110" s="879"/>
      <c r="F110" s="896">
        <v>2</v>
      </c>
      <c r="G110" s="881" t="s">
        <v>1488</v>
      </c>
      <c r="H110" s="880"/>
      <c r="I110" s="888">
        <f t="shared" si="2"/>
        <v>0</v>
      </c>
      <c r="J110" s="889"/>
    </row>
    <row r="111" spans="1:10">
      <c r="A111" s="877">
        <v>98</v>
      </c>
      <c r="B111" s="1310"/>
      <c r="C111" s="1313" t="s">
        <v>1599</v>
      </c>
      <c r="D111" s="882" t="s">
        <v>1600</v>
      </c>
      <c r="E111" s="879"/>
      <c r="F111" s="880">
        <v>1.8</v>
      </c>
      <c r="G111" s="881" t="s">
        <v>1488</v>
      </c>
      <c r="H111" s="880"/>
      <c r="I111" s="888">
        <f t="shared" si="2"/>
        <v>0</v>
      </c>
      <c r="J111" s="910" t="s">
        <v>1601</v>
      </c>
    </row>
    <row r="112" spans="1:10">
      <c r="A112" s="877">
        <v>99</v>
      </c>
      <c r="B112" s="1310"/>
      <c r="C112" s="1313"/>
      <c r="D112" s="882" t="s">
        <v>1602</v>
      </c>
      <c r="E112" s="879"/>
      <c r="F112" s="880">
        <v>0.15</v>
      </c>
      <c r="G112" s="881" t="s">
        <v>1488</v>
      </c>
      <c r="H112" s="880"/>
      <c r="I112" s="888">
        <f t="shared" si="2"/>
        <v>0</v>
      </c>
      <c r="J112" s="910" t="s">
        <v>1603</v>
      </c>
    </row>
    <row r="113" spans="1:10">
      <c r="A113" s="877">
        <v>100</v>
      </c>
      <c r="B113" s="1310"/>
      <c r="C113" s="1314" t="s">
        <v>1604</v>
      </c>
      <c r="D113" s="882" t="s">
        <v>1600</v>
      </c>
      <c r="E113" s="879"/>
      <c r="F113" s="880">
        <v>1.8</v>
      </c>
      <c r="G113" s="881" t="s">
        <v>1488</v>
      </c>
      <c r="H113" s="880"/>
      <c r="I113" s="888">
        <f t="shared" si="2"/>
        <v>0</v>
      </c>
      <c r="J113" s="910" t="s">
        <v>1601</v>
      </c>
    </row>
    <row r="114" spans="1:10">
      <c r="A114" s="877">
        <v>101</v>
      </c>
      <c r="B114" s="1310"/>
      <c r="C114" s="1315"/>
      <c r="D114" s="882" t="s">
        <v>1602</v>
      </c>
      <c r="E114" s="879"/>
      <c r="F114" s="880">
        <v>0.15</v>
      </c>
      <c r="G114" s="881" t="s">
        <v>1488</v>
      </c>
      <c r="H114" s="880"/>
      <c r="I114" s="888">
        <f t="shared" si="2"/>
        <v>0</v>
      </c>
      <c r="J114" s="910" t="s">
        <v>1603</v>
      </c>
    </row>
    <row r="115" spans="1:10" ht="28.5">
      <c r="A115" s="877">
        <v>102</v>
      </c>
      <c r="B115" s="1310"/>
      <c r="C115" s="1316" t="s">
        <v>1605</v>
      </c>
      <c r="D115" s="1317" t="s">
        <v>1606</v>
      </c>
      <c r="E115" s="879"/>
      <c r="F115" s="880">
        <v>0.35</v>
      </c>
      <c r="G115" s="881" t="s">
        <v>1488</v>
      </c>
      <c r="H115" s="881" t="s">
        <v>1488</v>
      </c>
      <c r="I115" s="888">
        <f t="shared" ref="I115:I121" si="3">E115*F115</f>
        <v>0</v>
      </c>
      <c r="J115" s="910" t="s">
        <v>1607</v>
      </c>
    </row>
    <row r="116" spans="1:10" ht="28.5">
      <c r="A116" s="877">
        <v>103</v>
      </c>
      <c r="B116" s="1310"/>
      <c r="C116" s="1316"/>
      <c r="D116" s="1318"/>
      <c r="E116" s="879"/>
      <c r="F116" s="911">
        <v>1.5</v>
      </c>
      <c r="G116" s="881" t="s">
        <v>1488</v>
      </c>
      <c r="H116" s="881" t="s">
        <v>1488</v>
      </c>
      <c r="I116" s="888">
        <f t="shared" si="3"/>
        <v>0</v>
      </c>
      <c r="J116" s="912" t="s">
        <v>1608</v>
      </c>
    </row>
    <row r="117" spans="1:10" ht="28.5">
      <c r="A117" s="877">
        <v>104</v>
      </c>
      <c r="B117" s="1310"/>
      <c r="C117" s="1316" t="s">
        <v>1609</v>
      </c>
      <c r="D117" s="1317" t="s">
        <v>1606</v>
      </c>
      <c r="E117" s="879"/>
      <c r="F117" s="911">
        <v>0.35</v>
      </c>
      <c r="G117" s="881" t="s">
        <v>1488</v>
      </c>
      <c r="H117" s="881" t="s">
        <v>1488</v>
      </c>
      <c r="I117" s="888">
        <f t="shared" si="3"/>
        <v>0</v>
      </c>
      <c r="J117" s="912" t="s">
        <v>1610</v>
      </c>
    </row>
    <row r="118" spans="1:10" ht="28.5">
      <c r="A118" s="877">
        <v>105</v>
      </c>
      <c r="B118" s="1310"/>
      <c r="C118" s="1316"/>
      <c r="D118" s="1319"/>
      <c r="E118" s="879"/>
      <c r="F118" s="911">
        <v>0.8</v>
      </c>
      <c r="G118" s="881" t="s">
        <v>1488</v>
      </c>
      <c r="H118" s="881" t="s">
        <v>1488</v>
      </c>
      <c r="I118" s="888">
        <f t="shared" si="3"/>
        <v>0</v>
      </c>
      <c r="J118" s="912" t="s">
        <v>1611</v>
      </c>
    </row>
    <row r="119" spans="1:10" ht="28.5">
      <c r="A119" s="877">
        <v>106</v>
      </c>
      <c r="B119" s="1310"/>
      <c r="C119" s="1316"/>
      <c r="D119" s="1318"/>
      <c r="E119" s="879"/>
      <c r="F119" s="911">
        <v>1.2</v>
      </c>
      <c r="G119" s="881" t="s">
        <v>1488</v>
      </c>
      <c r="H119" s="881" t="s">
        <v>1488</v>
      </c>
      <c r="I119" s="888">
        <f t="shared" si="3"/>
        <v>0</v>
      </c>
      <c r="J119" s="912" t="s">
        <v>1612</v>
      </c>
    </row>
    <row r="120" spans="1:10">
      <c r="A120" s="877">
        <v>107</v>
      </c>
      <c r="B120" s="1310"/>
      <c r="C120" s="1316" t="s">
        <v>1613</v>
      </c>
      <c r="D120" s="1317" t="s">
        <v>1606</v>
      </c>
      <c r="E120" s="879"/>
      <c r="F120" s="911">
        <v>0.38</v>
      </c>
      <c r="G120" s="881" t="s">
        <v>1488</v>
      </c>
      <c r="H120" s="881" t="s">
        <v>1488</v>
      </c>
      <c r="I120" s="888">
        <f t="shared" si="3"/>
        <v>0</v>
      </c>
      <c r="J120" s="912" t="s">
        <v>1614</v>
      </c>
    </row>
    <row r="121" spans="1:10">
      <c r="A121" s="877">
        <v>108</v>
      </c>
      <c r="B121" s="1311"/>
      <c r="C121" s="1316"/>
      <c r="D121" s="1318"/>
      <c r="E121" s="879"/>
      <c r="F121" s="911">
        <v>0.68</v>
      </c>
      <c r="G121" s="881" t="s">
        <v>1488</v>
      </c>
      <c r="H121" s="881" t="s">
        <v>1488</v>
      </c>
      <c r="I121" s="888">
        <f t="shared" si="3"/>
        <v>0</v>
      </c>
      <c r="J121" s="912" t="s">
        <v>1615</v>
      </c>
    </row>
  </sheetData>
  <mergeCells count="42">
    <mergeCell ref="D115:D116"/>
    <mergeCell ref="C117:C119"/>
    <mergeCell ref="D117:D119"/>
    <mergeCell ref="C120:C121"/>
    <mergeCell ref="D120:D121"/>
    <mergeCell ref="B98:B121"/>
    <mergeCell ref="C98:C99"/>
    <mergeCell ref="C100:C101"/>
    <mergeCell ref="C102:C110"/>
    <mergeCell ref="C111:C112"/>
    <mergeCell ref="C113:C114"/>
    <mergeCell ref="C115:C116"/>
    <mergeCell ref="B23:C26"/>
    <mergeCell ref="B61:B97"/>
    <mergeCell ref="C63:C69"/>
    <mergeCell ref="C70:C75"/>
    <mergeCell ref="C76:C79"/>
    <mergeCell ref="C82:C83"/>
    <mergeCell ref="C84:C85"/>
    <mergeCell ref="C86:C89"/>
    <mergeCell ref="C92:C93"/>
    <mergeCell ref="C94:C95"/>
    <mergeCell ref="C96:C97"/>
    <mergeCell ref="B27:B60"/>
    <mergeCell ref="C27:C29"/>
    <mergeCell ref="C30:C36"/>
    <mergeCell ref="C38:C47"/>
    <mergeCell ref="C48:C57"/>
    <mergeCell ref="A1:J1"/>
    <mergeCell ref="A2:J2"/>
    <mergeCell ref="B3:F3"/>
    <mergeCell ref="B14:F14"/>
    <mergeCell ref="A16:A17"/>
    <mergeCell ref="B16:D17"/>
    <mergeCell ref="E16:E17"/>
    <mergeCell ref="F16:F17"/>
    <mergeCell ref="G16:G17"/>
    <mergeCell ref="H16:H17"/>
    <mergeCell ref="I16:I17"/>
    <mergeCell ref="J16:J17"/>
    <mergeCell ref="B18:C22"/>
    <mergeCell ref="J19:J20"/>
  </mergeCells>
  <phoneticPr fontId="5" type="noConversion"/>
  <dataValidations count="1">
    <dataValidation type="list" allowBlank="1" showInputMessage="1" showErrorMessage="1" sqref="E18:E121">
      <formula1>"1"</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K255"/>
  <sheetViews>
    <sheetView topLeftCell="A210" workbookViewId="0">
      <selection sqref="A1:V1"/>
    </sheetView>
  </sheetViews>
  <sheetFormatPr defaultRowHeight="14.25"/>
  <cols>
    <col min="1" max="1" width="6.75" style="633" customWidth="1"/>
    <col min="2" max="2" width="8.625" style="633" customWidth="1"/>
    <col min="3" max="3" width="15.25" style="633" customWidth="1"/>
    <col min="4" max="4" width="14.25" style="789" customWidth="1"/>
    <col min="5" max="5" width="17.5" style="633" customWidth="1"/>
    <col min="6" max="6" width="9.125" style="633" customWidth="1"/>
    <col min="7" max="7" width="15.75" style="789" customWidth="1"/>
    <col min="8" max="8" width="10.75" style="633" customWidth="1"/>
    <col min="9" max="9" width="17.125" style="633" customWidth="1"/>
    <col min="10" max="10" width="16.5" style="633" customWidth="1"/>
    <col min="11" max="11" width="21.625" style="633" customWidth="1"/>
    <col min="12" max="12" width="7.5" style="633" customWidth="1"/>
    <col min="13" max="13" width="46.75" style="633" customWidth="1"/>
    <col min="14" max="14" width="31.375" style="633" customWidth="1"/>
    <col min="15" max="16384" width="9" style="633"/>
  </cols>
  <sheetData>
    <row r="1" spans="1:22" ht="21" thickBot="1">
      <c r="A1" s="1501" t="s">
        <v>994</v>
      </c>
      <c r="B1" s="1501"/>
      <c r="C1" s="1501"/>
      <c r="D1" s="1501"/>
      <c r="E1" s="1501"/>
      <c r="F1" s="1501"/>
      <c r="G1" s="1501"/>
      <c r="H1" s="1501"/>
      <c r="I1" s="1501"/>
      <c r="J1" s="1501"/>
      <c r="K1" s="1501"/>
      <c r="L1" s="1501"/>
      <c r="M1" s="1501"/>
      <c r="N1" s="1501"/>
      <c r="O1" s="1501"/>
      <c r="P1" s="1501"/>
      <c r="Q1" s="1501"/>
      <c r="R1" s="1501"/>
      <c r="S1" s="1501"/>
      <c r="T1" s="1501"/>
      <c r="U1" s="1501"/>
      <c r="V1" s="1502"/>
    </row>
    <row r="2" spans="1:22">
      <c r="A2" s="1503" t="s">
        <v>995</v>
      </c>
      <c r="B2" s="1504"/>
      <c r="C2" s="1504"/>
      <c r="D2" s="1504"/>
      <c r="E2" s="1504"/>
      <c r="F2" s="1505"/>
      <c r="G2" s="634" t="s">
        <v>996</v>
      </c>
      <c r="H2" s="635" t="s">
        <v>997</v>
      </c>
      <c r="I2" s="636" t="s">
        <v>998</v>
      </c>
      <c r="J2" s="637"/>
      <c r="K2" s="637"/>
      <c r="L2" s="637"/>
      <c r="M2" s="638"/>
      <c r="N2" s="638"/>
      <c r="O2" s="638"/>
      <c r="P2" s="639"/>
      <c r="Q2" s="640"/>
      <c r="R2" s="641"/>
      <c r="S2" s="641"/>
      <c r="T2" s="639"/>
      <c r="U2" s="642"/>
      <c r="V2" s="642"/>
    </row>
    <row r="3" spans="1:22">
      <c r="A3" s="1506"/>
      <c r="B3" s="1507"/>
      <c r="C3" s="1507"/>
      <c r="D3" s="1507"/>
      <c r="E3" s="1507"/>
      <c r="F3" s="1508"/>
      <c r="G3" s="643" t="s">
        <v>999</v>
      </c>
      <c r="H3" s="644" t="s">
        <v>1000</v>
      </c>
      <c r="I3" s="645">
        <v>8000</v>
      </c>
      <c r="J3" s="637"/>
      <c r="K3" s="637"/>
      <c r="L3" s="646"/>
      <c r="M3" s="638"/>
      <c r="N3" s="638"/>
      <c r="O3" s="638"/>
      <c r="P3" s="639"/>
      <c r="Q3" s="640"/>
      <c r="R3" s="641"/>
      <c r="S3" s="641"/>
      <c r="T3" s="639"/>
      <c r="U3" s="642"/>
      <c r="V3" s="642"/>
    </row>
    <row r="4" spans="1:22">
      <c r="A4" s="1506"/>
      <c r="B4" s="1507"/>
      <c r="C4" s="1507"/>
      <c r="D4" s="1507"/>
      <c r="E4" s="1507"/>
      <c r="F4" s="1508"/>
      <c r="G4" s="647" t="s">
        <v>1001</v>
      </c>
      <c r="H4" s="644" t="s">
        <v>1000</v>
      </c>
      <c r="I4" s="645">
        <v>5000</v>
      </c>
      <c r="J4" s="637"/>
      <c r="K4" s="637"/>
      <c r="L4" s="646"/>
      <c r="M4" s="638"/>
      <c r="N4" s="638"/>
      <c r="O4" s="638"/>
      <c r="P4" s="639"/>
      <c r="Q4" s="640"/>
      <c r="R4" s="641"/>
      <c r="S4" s="641"/>
      <c r="T4" s="639"/>
      <c r="U4" s="642"/>
      <c r="V4" s="642"/>
    </row>
    <row r="5" spans="1:22">
      <c r="A5" s="1506"/>
      <c r="B5" s="1507"/>
      <c r="C5" s="1507"/>
      <c r="D5" s="1507"/>
      <c r="E5" s="1507"/>
      <c r="F5" s="1508"/>
      <c r="G5" s="647" t="s">
        <v>1002</v>
      </c>
      <c r="H5" s="644" t="s">
        <v>1000</v>
      </c>
      <c r="I5" s="645">
        <v>5000</v>
      </c>
      <c r="J5" s="637"/>
      <c r="K5" s="637"/>
      <c r="L5" s="646"/>
      <c r="M5" s="638"/>
      <c r="N5" s="638"/>
      <c r="O5" s="638"/>
      <c r="P5" s="639"/>
      <c r="Q5" s="640"/>
      <c r="R5" s="641"/>
      <c r="S5" s="641"/>
      <c r="T5" s="639"/>
      <c r="U5" s="642"/>
      <c r="V5" s="642"/>
    </row>
    <row r="6" spans="1:22">
      <c r="A6" s="1506"/>
      <c r="B6" s="1507"/>
      <c r="C6" s="1507"/>
      <c r="D6" s="1507"/>
      <c r="E6" s="1507"/>
      <c r="F6" s="1508"/>
      <c r="G6" s="647" t="s">
        <v>1003</v>
      </c>
      <c r="H6" s="644" t="s">
        <v>1000</v>
      </c>
      <c r="I6" s="645">
        <v>3000</v>
      </c>
      <c r="J6" s="637"/>
      <c r="K6" s="637"/>
      <c r="L6" s="646"/>
      <c r="M6" s="638"/>
      <c r="N6" s="638"/>
      <c r="O6" s="638"/>
      <c r="P6" s="639"/>
      <c r="Q6" s="640"/>
      <c r="R6" s="641"/>
      <c r="S6" s="641"/>
      <c r="T6" s="639"/>
      <c r="U6" s="642"/>
      <c r="V6" s="642"/>
    </row>
    <row r="7" spans="1:22" ht="15" thickBot="1">
      <c r="A7" s="1506"/>
      <c r="B7" s="1507"/>
      <c r="C7" s="1507"/>
      <c r="D7" s="1507"/>
      <c r="E7" s="1507"/>
      <c r="F7" s="1508"/>
      <c r="G7" s="648" t="s">
        <v>1004</v>
      </c>
      <c r="H7" s="649" t="s">
        <v>1000</v>
      </c>
      <c r="I7" s="650">
        <v>3000</v>
      </c>
      <c r="J7" s="651"/>
      <c r="K7" s="651"/>
      <c r="L7" s="652"/>
      <c r="M7" s="653"/>
      <c r="N7" s="653"/>
      <c r="O7" s="653"/>
      <c r="P7" s="654"/>
      <c r="Q7" s="655"/>
      <c r="R7" s="656"/>
      <c r="S7" s="656"/>
      <c r="T7" s="639"/>
      <c r="U7" s="642"/>
      <c r="V7" s="642"/>
    </row>
    <row r="8" spans="1:22">
      <c r="A8" s="1509" t="s">
        <v>1005</v>
      </c>
      <c r="B8" s="1511" t="s">
        <v>1006</v>
      </c>
      <c r="C8" s="1511" t="s">
        <v>1007</v>
      </c>
      <c r="D8" s="1511" t="s">
        <v>1008</v>
      </c>
      <c r="E8" s="1512" t="s">
        <v>1009</v>
      </c>
      <c r="F8" s="1512"/>
      <c r="G8" s="1512"/>
      <c r="H8" s="1512"/>
      <c r="I8" s="1512"/>
      <c r="J8" s="1513" t="s">
        <v>1010</v>
      </c>
      <c r="K8" s="1511" t="s">
        <v>1011</v>
      </c>
      <c r="L8" s="1511" t="s">
        <v>1012</v>
      </c>
      <c r="M8" s="1515" t="s">
        <v>1013</v>
      </c>
      <c r="N8" s="657"/>
      <c r="O8" s="658"/>
      <c r="P8" s="658"/>
      <c r="Q8" s="659"/>
      <c r="R8" s="660"/>
      <c r="S8" s="661"/>
      <c r="T8" s="662"/>
      <c r="U8" s="662"/>
      <c r="V8" s="663"/>
    </row>
    <row r="9" spans="1:22" ht="24">
      <c r="A9" s="1510"/>
      <c r="B9" s="1500"/>
      <c r="C9" s="1500"/>
      <c r="D9" s="1500"/>
      <c r="E9" s="664" t="s">
        <v>1014</v>
      </c>
      <c r="F9" s="664" t="s">
        <v>1002</v>
      </c>
      <c r="G9" s="664" t="s">
        <v>1015</v>
      </c>
      <c r="H9" s="664" t="s">
        <v>1004</v>
      </c>
      <c r="I9" s="664" t="s">
        <v>1016</v>
      </c>
      <c r="J9" s="1514"/>
      <c r="K9" s="1500"/>
      <c r="L9" s="1500"/>
      <c r="M9" s="1516"/>
      <c r="N9" s="657"/>
      <c r="O9" s="658"/>
      <c r="P9" s="658"/>
      <c r="Q9" s="659"/>
      <c r="R9" s="660"/>
      <c r="S9" s="661"/>
      <c r="T9" s="662"/>
      <c r="U9" s="662"/>
      <c r="V9" s="663"/>
    </row>
    <row r="10" spans="1:22" s="672" customFormat="1" ht="108">
      <c r="A10" s="1496" t="s">
        <v>1017</v>
      </c>
      <c r="B10" s="665" t="s">
        <v>1018</v>
      </c>
      <c r="C10" s="666" t="s">
        <v>1019</v>
      </c>
      <c r="D10" s="667" t="s">
        <v>1020</v>
      </c>
      <c r="E10" s="668"/>
      <c r="F10" s="668"/>
      <c r="G10" s="668"/>
      <c r="H10" s="668"/>
      <c r="I10" s="668"/>
      <c r="J10" s="669">
        <f>IF($D10="Y",$E10*$I$3+$F10*$I$5+$G10*$I$6+$H10*$I$7,0)</f>
        <v>0</v>
      </c>
      <c r="K10" s="669"/>
      <c r="L10" s="669"/>
      <c r="M10" s="670" t="s">
        <v>1021</v>
      </c>
      <c r="N10" s="671"/>
      <c r="O10" s="671"/>
      <c r="P10" s="671"/>
      <c r="Q10" s="671"/>
      <c r="R10" s="671"/>
      <c r="S10" s="671"/>
      <c r="T10" s="671"/>
      <c r="U10" s="671"/>
      <c r="V10" s="671"/>
    </row>
    <row r="11" spans="1:22">
      <c r="A11" s="1496"/>
      <c r="B11" s="1497" t="s">
        <v>1022</v>
      </c>
      <c r="C11" s="1497"/>
      <c r="D11" s="673">
        <f>COUNTIF(D10:D10,"Y")</f>
        <v>0</v>
      </c>
      <c r="E11" s="674">
        <f>SUMIF($D$10:$D$10,"=Y",E10:E10)</f>
        <v>0</v>
      </c>
      <c r="F11" s="674">
        <f t="shared" ref="F11:L11" si="0">SUMIF($D$10:$D$10,"=Y",F10:F10)</f>
        <v>0</v>
      </c>
      <c r="G11" s="674">
        <f t="shared" si="0"/>
        <v>0</v>
      </c>
      <c r="H11" s="674">
        <f t="shared" si="0"/>
        <v>0</v>
      </c>
      <c r="I11" s="674">
        <f t="shared" si="0"/>
        <v>0</v>
      </c>
      <c r="J11" s="673">
        <f t="shared" si="0"/>
        <v>0</v>
      </c>
      <c r="K11" s="673">
        <f t="shared" si="0"/>
        <v>0</v>
      </c>
      <c r="L11" s="673">
        <f t="shared" si="0"/>
        <v>0</v>
      </c>
      <c r="M11" s="675"/>
      <c r="N11" s="642"/>
      <c r="O11" s="642"/>
      <c r="P11" s="642"/>
      <c r="Q11" s="642"/>
      <c r="R11" s="642"/>
      <c r="S11" s="642"/>
      <c r="T11" s="642"/>
      <c r="U11" s="642"/>
      <c r="V11" s="642"/>
    </row>
    <row r="12" spans="1:22" s="672" customFormat="1" ht="24">
      <c r="A12" s="1498" t="s">
        <v>1023</v>
      </c>
      <c r="B12" s="1499" t="s">
        <v>1024</v>
      </c>
      <c r="C12" s="669" t="s">
        <v>1024</v>
      </c>
      <c r="D12" s="667" t="s">
        <v>1020</v>
      </c>
      <c r="E12" s="668">
        <v>2</v>
      </c>
      <c r="F12" s="668">
        <v>5</v>
      </c>
      <c r="G12" s="668">
        <v>15</v>
      </c>
      <c r="H12" s="668"/>
      <c r="I12" s="668">
        <f>SUM(E12:H12)</f>
        <v>22</v>
      </c>
      <c r="J12" s="669">
        <f>IF($D12="Y",$E12*$I$3+$F12*$I$5+$G12*$I$6+$H12*$I$7,0)</f>
        <v>0</v>
      </c>
      <c r="K12" s="669"/>
      <c r="L12" s="669"/>
      <c r="M12" s="670" t="s">
        <v>1025</v>
      </c>
      <c r="N12" s="671"/>
      <c r="O12" s="671"/>
      <c r="P12" s="671"/>
      <c r="Q12" s="671"/>
      <c r="R12" s="671"/>
      <c r="S12" s="671"/>
      <c r="T12" s="671"/>
      <c r="U12" s="671"/>
      <c r="V12" s="671"/>
    </row>
    <row r="13" spans="1:22">
      <c r="A13" s="1498"/>
      <c r="B13" s="1499"/>
      <c r="C13" s="676" t="s">
        <v>1026</v>
      </c>
      <c r="D13" s="677">
        <f>COUNTIF(D12:D12,"Y")</f>
        <v>0</v>
      </c>
      <c r="E13" s="678">
        <f>SUMIF($D$12:$D$12,"=Y",E12:E12)</f>
        <v>0</v>
      </c>
      <c r="F13" s="678">
        <f t="shared" ref="F13:L13" si="1">SUMIF($D$12:$D$12,"=Y",F12:F12)</f>
        <v>0</v>
      </c>
      <c r="G13" s="678">
        <f>SUMIF($D$12:$D$12,"=Y",G12:G12)</f>
        <v>0</v>
      </c>
      <c r="H13" s="678">
        <f t="shared" si="1"/>
        <v>0</v>
      </c>
      <c r="I13" s="678">
        <f t="shared" ref="I13:I22" si="2">SUM(E13:H13)</f>
        <v>0</v>
      </c>
      <c r="J13" s="677">
        <f t="shared" si="1"/>
        <v>0</v>
      </c>
      <c r="K13" s="677">
        <f t="shared" si="1"/>
        <v>0</v>
      </c>
      <c r="L13" s="677">
        <f t="shared" si="1"/>
        <v>0</v>
      </c>
      <c r="M13" s="675"/>
      <c r="N13" s="642"/>
      <c r="O13" s="642"/>
      <c r="P13" s="642"/>
      <c r="Q13" s="642"/>
      <c r="R13" s="642"/>
      <c r="S13" s="642"/>
      <c r="T13" s="642"/>
      <c r="U13" s="642"/>
      <c r="V13" s="642"/>
    </row>
    <row r="14" spans="1:22" s="672" customFormat="1" ht="48">
      <c r="A14" s="1498"/>
      <c r="B14" s="1479" t="s">
        <v>1027</v>
      </c>
      <c r="C14" s="669" t="s">
        <v>1028</v>
      </c>
      <c r="D14" s="667" t="s">
        <v>1020</v>
      </c>
      <c r="E14" s="668"/>
      <c r="F14" s="668">
        <v>1</v>
      </c>
      <c r="G14" s="668">
        <v>2</v>
      </c>
      <c r="H14" s="668">
        <v>1</v>
      </c>
      <c r="I14" s="668">
        <f t="shared" si="2"/>
        <v>4</v>
      </c>
      <c r="J14" s="669">
        <f>IF($D14="Y",$E14*$I$3+$F14*$I$5+$G14*$I$6+$H14*$I$7,0)</f>
        <v>0</v>
      </c>
      <c r="K14" s="669"/>
      <c r="L14" s="669"/>
      <c r="M14" s="670" t="s">
        <v>1029</v>
      </c>
      <c r="N14" s="671"/>
      <c r="O14" s="671"/>
      <c r="P14" s="671"/>
      <c r="Q14" s="671"/>
      <c r="R14" s="671"/>
      <c r="S14" s="671"/>
      <c r="T14" s="671"/>
      <c r="U14" s="671"/>
      <c r="V14" s="671"/>
    </row>
    <row r="15" spans="1:22" s="672" customFormat="1">
      <c r="A15" s="1498"/>
      <c r="B15" s="1479"/>
      <c r="C15" s="669" t="s">
        <v>1030</v>
      </c>
      <c r="D15" s="667" t="s">
        <v>1020</v>
      </c>
      <c r="E15" s="668"/>
      <c r="F15" s="668"/>
      <c r="G15" s="668">
        <v>2</v>
      </c>
      <c r="H15" s="668">
        <v>2</v>
      </c>
      <c r="I15" s="668">
        <f t="shared" si="2"/>
        <v>4</v>
      </c>
      <c r="J15" s="669">
        <f>IF($D15="Y",$E15*$I$3+$F15*$I$5+$G15*$I$6+$H15*$I$7,0)</f>
        <v>0</v>
      </c>
      <c r="K15" s="669"/>
      <c r="L15" s="669"/>
      <c r="M15" s="1476" t="s">
        <v>1031</v>
      </c>
      <c r="N15" s="671"/>
      <c r="O15" s="671"/>
      <c r="P15" s="671"/>
      <c r="Q15" s="671"/>
      <c r="R15" s="671"/>
      <c r="S15" s="671"/>
      <c r="T15" s="671"/>
      <c r="U15" s="671"/>
      <c r="V15" s="671"/>
    </row>
    <row r="16" spans="1:22" s="672" customFormat="1">
      <c r="A16" s="1498"/>
      <c r="B16" s="1479"/>
      <c r="C16" s="669" t="s">
        <v>1032</v>
      </c>
      <c r="D16" s="667" t="s">
        <v>1020</v>
      </c>
      <c r="E16" s="668"/>
      <c r="F16" s="668"/>
      <c r="G16" s="668">
        <v>2</v>
      </c>
      <c r="H16" s="668">
        <v>1</v>
      </c>
      <c r="I16" s="668">
        <f t="shared" si="2"/>
        <v>3</v>
      </c>
      <c r="J16" s="669">
        <f>IF($D16="Y",$E16*$I$3+$F16*H14+$G16*$I$6+$H16*$I$7,0)</f>
        <v>0</v>
      </c>
      <c r="K16" s="669"/>
      <c r="L16" s="669"/>
      <c r="M16" s="1476"/>
      <c r="N16" s="671"/>
      <c r="O16" s="671"/>
      <c r="P16" s="671"/>
      <c r="Q16" s="671"/>
      <c r="R16" s="671"/>
      <c r="S16" s="671"/>
      <c r="T16" s="671"/>
      <c r="U16" s="671"/>
      <c r="V16" s="671"/>
    </row>
    <row r="17" spans="1:22" s="672" customFormat="1">
      <c r="A17" s="1498"/>
      <c r="B17" s="1479"/>
      <c r="C17" s="669" t="s">
        <v>1033</v>
      </c>
      <c r="D17" s="667" t="s">
        <v>1020</v>
      </c>
      <c r="E17" s="668"/>
      <c r="F17" s="668"/>
      <c r="G17" s="668">
        <v>2</v>
      </c>
      <c r="H17" s="668"/>
      <c r="I17" s="668">
        <f t="shared" si="2"/>
        <v>2</v>
      </c>
      <c r="J17" s="669">
        <f>IF($D17="Y",$E17*$I$3+$F17*$I$5+$G17*$I$6+$H17*$I$7,0)</f>
        <v>0</v>
      </c>
      <c r="K17" s="669"/>
      <c r="L17" s="669"/>
      <c r="M17" s="1476"/>
      <c r="N17" s="671"/>
      <c r="O17" s="671"/>
      <c r="P17" s="671"/>
      <c r="Q17" s="671"/>
      <c r="R17" s="671"/>
      <c r="S17" s="671"/>
      <c r="T17" s="671"/>
      <c r="U17" s="671"/>
      <c r="V17" s="671"/>
    </row>
    <row r="18" spans="1:22">
      <c r="A18" s="1498"/>
      <c r="B18" s="1479"/>
      <c r="C18" s="676" t="s">
        <v>1026</v>
      </c>
      <c r="D18" s="677">
        <f>COUNTIF(D14:D17,"Y")</f>
        <v>0</v>
      </c>
      <c r="E18" s="678">
        <f>SUMIF($D$14:$D$17,"=Y",E14:E17)</f>
        <v>0</v>
      </c>
      <c r="F18" s="678">
        <f t="shared" ref="F18:L18" si="3">SUMIF($D$14:$D$17,"=Y",F14:F17)</f>
        <v>0</v>
      </c>
      <c r="G18" s="678">
        <f t="shared" si="3"/>
        <v>0</v>
      </c>
      <c r="H18" s="678">
        <f t="shared" si="3"/>
        <v>0</v>
      </c>
      <c r="I18" s="678">
        <f t="shared" si="2"/>
        <v>0</v>
      </c>
      <c r="J18" s="677">
        <f>SUMIF($D$14:$D$17,"=Y",J14:J17)</f>
        <v>0</v>
      </c>
      <c r="K18" s="677">
        <f t="shared" si="3"/>
        <v>0</v>
      </c>
      <c r="L18" s="677">
        <f t="shared" si="3"/>
        <v>0</v>
      </c>
      <c r="M18" s="675"/>
      <c r="N18" s="642"/>
      <c r="O18" s="642"/>
      <c r="P18" s="642"/>
      <c r="Q18" s="642"/>
      <c r="R18" s="642"/>
      <c r="S18" s="642"/>
      <c r="T18" s="642"/>
      <c r="U18" s="642"/>
      <c r="V18" s="642"/>
    </row>
    <row r="19" spans="1:22" s="672" customFormat="1" ht="108">
      <c r="A19" s="1498"/>
      <c r="B19" s="1479" t="s">
        <v>1034</v>
      </c>
      <c r="C19" s="669" t="s">
        <v>1035</v>
      </c>
      <c r="D19" s="667"/>
      <c r="E19" s="668"/>
      <c r="F19" s="668">
        <f>1*K19</f>
        <v>1</v>
      </c>
      <c r="G19" s="668">
        <f>5*K19</f>
        <v>5</v>
      </c>
      <c r="H19" s="668">
        <f>2*K19</f>
        <v>2</v>
      </c>
      <c r="I19" s="668">
        <f t="shared" si="2"/>
        <v>8</v>
      </c>
      <c r="J19" s="669">
        <f>IF($D19="Y",$E19*$I$3+$F19*$I$5+$G19*$I$6+$H19*$I$7,0)</f>
        <v>0</v>
      </c>
      <c r="K19" s="667">
        <v>1</v>
      </c>
      <c r="L19" s="669"/>
      <c r="M19" s="670" t="s">
        <v>1036</v>
      </c>
      <c r="N19" s="679"/>
      <c r="O19" s="671"/>
      <c r="P19" s="671"/>
      <c r="Q19" s="671"/>
      <c r="R19" s="671"/>
      <c r="S19" s="671"/>
      <c r="T19" s="671"/>
      <c r="U19" s="671"/>
      <c r="V19" s="671"/>
    </row>
    <row r="20" spans="1:22" s="672" customFormat="1">
      <c r="A20" s="1498"/>
      <c r="B20" s="1479"/>
      <c r="C20" s="669" t="s">
        <v>1037</v>
      </c>
      <c r="D20" s="667" t="s">
        <v>1020</v>
      </c>
      <c r="E20" s="668"/>
      <c r="F20" s="668">
        <v>1</v>
      </c>
      <c r="G20" s="668">
        <v>2</v>
      </c>
      <c r="H20" s="668">
        <v>1</v>
      </c>
      <c r="I20" s="668">
        <f t="shared" si="2"/>
        <v>4</v>
      </c>
      <c r="J20" s="669">
        <f>IF($D20="Y",$E20*$I$3+$F20*$I$5+$G20*$I$6+$H20*$I$7,0)</f>
        <v>0</v>
      </c>
      <c r="K20" s="669"/>
      <c r="L20" s="669"/>
      <c r="M20" s="1476" t="s">
        <v>1038</v>
      </c>
      <c r="N20" s="671"/>
      <c r="O20" s="671"/>
      <c r="P20" s="671"/>
      <c r="Q20" s="671"/>
      <c r="R20" s="671"/>
      <c r="S20" s="671"/>
      <c r="T20" s="671"/>
      <c r="U20" s="671"/>
      <c r="V20" s="671"/>
    </row>
    <row r="21" spans="1:22" s="672" customFormat="1">
      <c r="A21" s="1498"/>
      <c r="B21" s="1479"/>
      <c r="C21" s="669" t="s">
        <v>1039</v>
      </c>
      <c r="D21" s="667" t="s">
        <v>1020</v>
      </c>
      <c r="E21" s="668"/>
      <c r="F21" s="668"/>
      <c r="G21" s="668">
        <v>2</v>
      </c>
      <c r="H21" s="668"/>
      <c r="I21" s="668">
        <f t="shared" si="2"/>
        <v>2</v>
      </c>
      <c r="J21" s="669">
        <f>IF($D21="Y",$E21*$I$3+$F21*$I$5+$G21*$I$6+$H21*$I$7,0)</f>
        <v>0</v>
      </c>
      <c r="K21" s="669"/>
      <c r="L21" s="669"/>
      <c r="M21" s="1476"/>
      <c r="N21" s="671"/>
      <c r="O21" s="671"/>
      <c r="P21" s="671"/>
      <c r="Q21" s="671"/>
      <c r="R21" s="671"/>
      <c r="S21" s="671"/>
      <c r="T21" s="671"/>
      <c r="U21" s="671"/>
      <c r="V21" s="671"/>
    </row>
    <row r="22" spans="1:22" s="672" customFormat="1">
      <c r="A22" s="1498"/>
      <c r="B22" s="1479"/>
      <c r="C22" s="669" t="s">
        <v>1040</v>
      </c>
      <c r="D22" s="667" t="s">
        <v>1020</v>
      </c>
      <c r="E22" s="668"/>
      <c r="F22" s="668"/>
      <c r="G22" s="668"/>
      <c r="H22" s="668">
        <v>2</v>
      </c>
      <c r="I22" s="668">
        <f t="shared" si="2"/>
        <v>2</v>
      </c>
      <c r="J22" s="669">
        <f>IF($D22="Y",$E22*$I$3+$F22*$I$5+$G22*$I$6+$H22*$I$7,0)</f>
        <v>0</v>
      </c>
      <c r="K22" s="669"/>
      <c r="L22" s="669"/>
      <c r="M22" s="1476"/>
      <c r="N22" s="671"/>
      <c r="O22" s="671"/>
      <c r="P22" s="671"/>
      <c r="Q22" s="671"/>
      <c r="R22" s="671"/>
      <c r="S22" s="671"/>
      <c r="T22" s="671"/>
      <c r="U22" s="671"/>
      <c r="V22" s="671"/>
    </row>
    <row r="23" spans="1:22">
      <c r="A23" s="1498"/>
      <c r="B23" s="1479"/>
      <c r="C23" s="676" t="s">
        <v>1026</v>
      </c>
      <c r="D23" s="677">
        <f>COUNTIF(D19:D22,"Y")</f>
        <v>0</v>
      </c>
      <c r="E23" s="678">
        <f>SUMIF($D$19:$D$22,"=Y",E19:E22)</f>
        <v>0</v>
      </c>
      <c r="F23" s="678">
        <f t="shared" ref="F23:L23" si="4">SUMIF($D$19:$D$22,"=Y",F19:F22)</f>
        <v>0</v>
      </c>
      <c r="G23" s="678">
        <f t="shared" si="4"/>
        <v>0</v>
      </c>
      <c r="H23" s="678">
        <f t="shared" si="4"/>
        <v>0</v>
      </c>
      <c r="I23" s="678">
        <f>SUM(E23:H23)</f>
        <v>0</v>
      </c>
      <c r="J23" s="677">
        <f t="shared" si="4"/>
        <v>0</v>
      </c>
      <c r="K23" s="677">
        <f t="shared" si="4"/>
        <v>0</v>
      </c>
      <c r="L23" s="677">
        <f t="shared" si="4"/>
        <v>0</v>
      </c>
      <c r="M23" s="675"/>
      <c r="N23" s="642"/>
      <c r="O23" s="642"/>
      <c r="P23" s="642"/>
      <c r="Q23" s="642"/>
      <c r="R23" s="642"/>
      <c r="S23" s="642"/>
      <c r="T23" s="642"/>
      <c r="U23" s="642"/>
      <c r="V23" s="642"/>
    </row>
    <row r="24" spans="1:22" s="672" customFormat="1" ht="48">
      <c r="A24" s="1498"/>
      <c r="B24" s="1479" t="s">
        <v>1041</v>
      </c>
      <c r="C24" s="669" t="s">
        <v>1042</v>
      </c>
      <c r="D24" s="667" t="s">
        <v>1020</v>
      </c>
      <c r="E24" s="668"/>
      <c r="F24" s="668"/>
      <c r="G24" s="668"/>
      <c r="H24" s="668"/>
      <c r="I24" s="668">
        <f t="shared" ref="I24:I28" si="5">SUM(E24:H24)</f>
        <v>0</v>
      </c>
      <c r="J24" s="669">
        <f>IF($D24="Y",$E24*$I$3+$F24*$I$5+$G24*$I$6+$H24*$I$7,0)</f>
        <v>0</v>
      </c>
      <c r="K24" s="669"/>
      <c r="L24" s="669"/>
      <c r="M24" s="670" t="s">
        <v>1043</v>
      </c>
      <c r="N24" s="671"/>
      <c r="O24" s="671"/>
      <c r="P24" s="671"/>
      <c r="Q24" s="671"/>
      <c r="R24" s="671"/>
      <c r="S24" s="671"/>
      <c r="T24" s="671"/>
      <c r="U24" s="671"/>
      <c r="V24" s="671"/>
    </row>
    <row r="25" spans="1:22" s="672" customFormat="1" ht="60">
      <c r="A25" s="1498"/>
      <c r="B25" s="1479"/>
      <c r="C25" s="669" t="s">
        <v>1044</v>
      </c>
      <c r="D25" s="667" t="s">
        <v>1020</v>
      </c>
      <c r="E25" s="668"/>
      <c r="F25" s="668"/>
      <c r="G25" s="668"/>
      <c r="H25" s="668"/>
      <c r="I25" s="668">
        <f t="shared" si="5"/>
        <v>0</v>
      </c>
      <c r="J25" s="669">
        <f>IF($D25="Y",$E25*$I$3+$F25*$I$5+$G25*$I$6+$H25*$I$7,0)</f>
        <v>0</v>
      </c>
      <c r="K25" s="669"/>
      <c r="L25" s="669"/>
      <c r="M25" s="670" t="s">
        <v>1045</v>
      </c>
      <c r="N25" s="671"/>
      <c r="O25" s="671"/>
      <c r="P25" s="671"/>
      <c r="Q25" s="671"/>
      <c r="R25" s="671"/>
      <c r="S25" s="671"/>
      <c r="T25" s="671"/>
      <c r="U25" s="671"/>
      <c r="V25" s="671"/>
    </row>
    <row r="26" spans="1:22" s="672" customFormat="1" ht="60">
      <c r="A26" s="1498"/>
      <c r="B26" s="1479"/>
      <c r="C26" s="669" t="s">
        <v>1046</v>
      </c>
      <c r="D26" s="667" t="s">
        <v>1020</v>
      </c>
      <c r="E26" s="668"/>
      <c r="F26" s="668"/>
      <c r="G26" s="668"/>
      <c r="H26" s="668"/>
      <c r="I26" s="668">
        <f t="shared" si="5"/>
        <v>0</v>
      </c>
      <c r="J26" s="669">
        <f>IF($D26="Y",$E26*$I$3+$F26*$I$5+$G26*$I$6+$H26*$I$7,0)</f>
        <v>0</v>
      </c>
      <c r="K26" s="669"/>
      <c r="L26" s="669"/>
      <c r="M26" s="670" t="s">
        <v>1047</v>
      </c>
      <c r="N26" s="671"/>
      <c r="O26" s="671"/>
      <c r="P26" s="671"/>
      <c r="Q26" s="671"/>
      <c r="R26" s="671"/>
      <c r="S26" s="671"/>
      <c r="T26" s="671"/>
      <c r="U26" s="671"/>
      <c r="V26" s="671"/>
    </row>
    <row r="27" spans="1:22" s="672" customFormat="1" ht="84">
      <c r="A27" s="1498"/>
      <c r="B27" s="1479"/>
      <c r="C27" s="669" t="s">
        <v>1048</v>
      </c>
      <c r="D27" s="667" t="s">
        <v>1020</v>
      </c>
      <c r="E27" s="668"/>
      <c r="F27" s="668"/>
      <c r="G27" s="668"/>
      <c r="H27" s="668"/>
      <c r="I27" s="668">
        <f t="shared" si="5"/>
        <v>0</v>
      </c>
      <c r="J27" s="669">
        <f>IF($D27="Y",$E27*$I$3+$F27*$I$5+$G27*$I$6+$H27*$I$7,0)</f>
        <v>0</v>
      </c>
      <c r="K27" s="669"/>
      <c r="L27" s="669"/>
      <c r="M27" s="670" t="s">
        <v>1049</v>
      </c>
      <c r="N27" s="671"/>
      <c r="O27" s="671"/>
      <c r="P27" s="671"/>
      <c r="Q27" s="671"/>
      <c r="R27" s="671"/>
      <c r="S27" s="671"/>
      <c r="T27" s="671"/>
      <c r="U27" s="671"/>
      <c r="V27" s="671"/>
    </row>
    <row r="28" spans="1:22" s="672" customFormat="1" ht="48">
      <c r="A28" s="1498"/>
      <c r="B28" s="1479"/>
      <c r="C28" s="669" t="s">
        <v>1050</v>
      </c>
      <c r="D28" s="667" t="s">
        <v>1020</v>
      </c>
      <c r="E28" s="668">
        <f>SUM(E24:E27)</f>
        <v>0</v>
      </c>
      <c r="F28" s="668">
        <f>SUM(F24:F27)</f>
        <v>0</v>
      </c>
      <c r="G28" s="668">
        <f>SUM(G24:G27)</f>
        <v>0</v>
      </c>
      <c r="H28" s="668">
        <f>SUM(H24:H27)</f>
        <v>0</v>
      </c>
      <c r="I28" s="668">
        <f t="shared" si="5"/>
        <v>0</v>
      </c>
      <c r="J28" s="669">
        <f>IF($D28="Y",$E28*$I$3+$F28*$I$5+$G28*$I$6+$H28*$I$7,0)</f>
        <v>0</v>
      </c>
      <c r="K28" s="669"/>
      <c r="L28" s="669"/>
      <c r="M28" s="670" t="s">
        <v>1043</v>
      </c>
      <c r="N28" s="671"/>
      <c r="O28" s="671"/>
      <c r="P28" s="671"/>
      <c r="Q28" s="671"/>
      <c r="R28" s="671"/>
      <c r="S28" s="671"/>
      <c r="T28" s="671"/>
      <c r="U28" s="671"/>
      <c r="V28" s="671"/>
    </row>
    <row r="29" spans="1:22">
      <c r="A29" s="1498"/>
      <c r="B29" s="1479"/>
      <c r="C29" s="676" t="s">
        <v>1026</v>
      </c>
      <c r="D29" s="677">
        <f>COUNTIF(D24:D28,"Y")</f>
        <v>0</v>
      </c>
      <c r="E29" s="678">
        <f>SUMIF($D$24:$D$28,"=Y",E24:E28)</f>
        <v>0</v>
      </c>
      <c r="F29" s="678">
        <f t="shared" ref="F29:L29" si="6">SUMIF($D$24:$D$28,"=Y",F24:F28)</f>
        <v>0</v>
      </c>
      <c r="G29" s="678">
        <f t="shared" si="6"/>
        <v>0</v>
      </c>
      <c r="H29" s="678">
        <f t="shared" si="6"/>
        <v>0</v>
      </c>
      <c r="I29" s="678">
        <f>SUM(E29:H29)</f>
        <v>0</v>
      </c>
      <c r="J29" s="677">
        <f t="shared" si="6"/>
        <v>0</v>
      </c>
      <c r="K29" s="677">
        <f t="shared" si="6"/>
        <v>0</v>
      </c>
      <c r="L29" s="677">
        <f t="shared" si="6"/>
        <v>0</v>
      </c>
      <c r="M29" s="675"/>
      <c r="N29" s="642"/>
      <c r="O29" s="642"/>
      <c r="P29" s="642"/>
      <c r="Q29" s="642"/>
      <c r="R29" s="642"/>
      <c r="S29" s="642"/>
      <c r="T29" s="642"/>
      <c r="U29" s="642"/>
      <c r="V29" s="642"/>
    </row>
    <row r="30" spans="1:22">
      <c r="A30" s="1498"/>
      <c r="B30" s="1500" t="s">
        <v>1051</v>
      </c>
      <c r="C30" s="1500"/>
      <c r="D30" s="680">
        <f>D13+D18+D23+D29</f>
        <v>0</v>
      </c>
      <c r="E30" s="681">
        <f>E13+E18+E23+E29</f>
        <v>0</v>
      </c>
      <c r="F30" s="681">
        <f t="shared" ref="F30:L30" si="7">F13+F18+F23+F29</f>
        <v>0</v>
      </c>
      <c r="G30" s="681">
        <f t="shared" si="7"/>
        <v>0</v>
      </c>
      <c r="H30" s="681">
        <f t="shared" si="7"/>
        <v>0</v>
      </c>
      <c r="I30" s="681">
        <f>SUM(E30:H30)</f>
        <v>0</v>
      </c>
      <c r="J30" s="680">
        <f t="shared" si="7"/>
        <v>0</v>
      </c>
      <c r="K30" s="680">
        <f t="shared" si="7"/>
        <v>0</v>
      </c>
      <c r="L30" s="680">
        <f t="shared" si="7"/>
        <v>0</v>
      </c>
      <c r="M30" s="682"/>
      <c r="N30" s="642"/>
      <c r="O30" s="642"/>
      <c r="P30" s="642"/>
      <c r="Q30" s="642"/>
      <c r="R30" s="642"/>
      <c r="S30" s="642"/>
      <c r="T30" s="642"/>
      <c r="U30" s="642"/>
      <c r="V30" s="642"/>
    </row>
    <row r="31" spans="1:22" s="672" customFormat="1">
      <c r="A31" s="1481" t="s">
        <v>1052</v>
      </c>
      <c r="B31" s="1479" t="s">
        <v>1053</v>
      </c>
      <c r="C31" s="669" t="s">
        <v>1054</v>
      </c>
      <c r="D31" s="667" t="s">
        <v>1020</v>
      </c>
      <c r="E31" s="668">
        <v>5</v>
      </c>
      <c r="F31" s="668">
        <v>15</v>
      </c>
      <c r="G31" s="668">
        <v>22</v>
      </c>
      <c r="H31" s="668">
        <v>4</v>
      </c>
      <c r="I31" s="668">
        <f t="shared" ref="I31:I34" si="8">SUM(E31:H31)</f>
        <v>46</v>
      </c>
      <c r="J31" s="669">
        <f>IF($D31="Y",$E31*$I$3+$F31*$I$5+$G31*$I$6+$H31*$I$7,0)</f>
        <v>0</v>
      </c>
      <c r="K31" s="669"/>
      <c r="L31" s="669"/>
      <c r="M31" s="1484" t="s">
        <v>1055</v>
      </c>
      <c r="N31" s="671"/>
      <c r="O31" s="671"/>
      <c r="P31" s="671"/>
      <c r="Q31" s="671"/>
      <c r="R31" s="671"/>
      <c r="S31" s="671"/>
      <c r="T31" s="671"/>
      <c r="U31" s="671"/>
      <c r="V31" s="671"/>
    </row>
    <row r="32" spans="1:22" s="672" customFormat="1">
      <c r="A32" s="1482"/>
      <c r="B32" s="1479"/>
      <c r="C32" s="669" t="s">
        <v>1056</v>
      </c>
      <c r="D32" s="667" t="s">
        <v>1020</v>
      </c>
      <c r="E32" s="668">
        <v>1</v>
      </c>
      <c r="F32" s="668">
        <v>10</v>
      </c>
      <c r="G32" s="668">
        <v>18</v>
      </c>
      <c r="H32" s="668"/>
      <c r="I32" s="668">
        <f t="shared" si="8"/>
        <v>29</v>
      </c>
      <c r="J32" s="669">
        <f>IF($D32="Y",$E32*$I$3+$F32*$I$5+$G32*$I$6+$H32*$I$7,0)</f>
        <v>0</v>
      </c>
      <c r="K32" s="669"/>
      <c r="L32" s="669"/>
      <c r="M32" s="1484"/>
      <c r="N32" s="671"/>
      <c r="O32" s="671"/>
      <c r="P32" s="671"/>
      <c r="Q32" s="671"/>
      <c r="R32" s="671"/>
      <c r="S32" s="671"/>
      <c r="T32" s="671"/>
      <c r="U32" s="671"/>
      <c r="V32" s="671"/>
    </row>
    <row r="33" spans="1:22" s="672" customFormat="1">
      <c r="A33" s="1482"/>
      <c r="B33" s="1479"/>
      <c r="C33" s="669" t="s">
        <v>1057</v>
      </c>
      <c r="D33" s="667" t="s">
        <v>1020</v>
      </c>
      <c r="E33" s="668">
        <v>5</v>
      </c>
      <c r="F33" s="668">
        <v>15</v>
      </c>
      <c r="G33" s="668">
        <v>27</v>
      </c>
      <c r="H33" s="668"/>
      <c r="I33" s="668">
        <f t="shared" si="8"/>
        <v>47</v>
      </c>
      <c r="J33" s="669">
        <f>IF($D33="Y",$E33*$I$3+$F33*$I$5+$G33*$I$6+$H33*$I$7,0)</f>
        <v>0</v>
      </c>
      <c r="K33" s="669"/>
      <c r="L33" s="669"/>
      <c r="M33" s="1484"/>
      <c r="N33" s="671"/>
      <c r="O33" s="671"/>
      <c r="P33" s="671"/>
      <c r="Q33" s="671"/>
      <c r="R33" s="671"/>
      <c r="S33" s="671"/>
      <c r="T33" s="671"/>
      <c r="U33" s="671"/>
      <c r="V33" s="671"/>
    </row>
    <row r="34" spans="1:22" s="672" customFormat="1">
      <c r="A34" s="1482"/>
      <c r="B34" s="1479"/>
      <c r="C34" s="669" t="s">
        <v>1058</v>
      </c>
      <c r="D34" s="667" t="s">
        <v>1020</v>
      </c>
      <c r="E34" s="668">
        <v>5</v>
      </c>
      <c r="F34" s="668">
        <v>20</v>
      </c>
      <c r="G34" s="668">
        <v>33</v>
      </c>
      <c r="H34" s="668"/>
      <c r="I34" s="668">
        <f t="shared" si="8"/>
        <v>58</v>
      </c>
      <c r="J34" s="669">
        <f>IF($D34="Y",$E34*$I$3+$F34*$I$5+$G34*$I$6+$H34*$I$7,0)</f>
        <v>0</v>
      </c>
      <c r="K34" s="669"/>
      <c r="L34" s="669"/>
      <c r="M34" s="1484"/>
      <c r="N34" s="671"/>
      <c r="O34" s="671"/>
      <c r="P34" s="671"/>
      <c r="Q34" s="671"/>
      <c r="R34" s="671"/>
      <c r="S34" s="671"/>
      <c r="T34" s="671"/>
      <c r="U34" s="671"/>
      <c r="V34" s="671"/>
    </row>
    <row r="35" spans="1:22">
      <c r="A35" s="1482"/>
      <c r="B35" s="1479"/>
      <c r="C35" s="683" t="s">
        <v>1051</v>
      </c>
      <c r="D35" s="677">
        <f>COUNTIF(D31:D34,"Y")</f>
        <v>0</v>
      </c>
      <c r="E35" s="678">
        <f>SUMIF($D$31:$D$34,"=Y",E31:E34)</f>
        <v>0</v>
      </c>
      <c r="F35" s="678">
        <f t="shared" ref="F35:H35" si="9">SUMIF($D$31:$D$34,"=Y",F31:F34)</f>
        <v>0</v>
      </c>
      <c r="G35" s="678">
        <f t="shared" si="9"/>
        <v>0</v>
      </c>
      <c r="H35" s="678">
        <f t="shared" si="9"/>
        <v>0</v>
      </c>
      <c r="I35" s="678">
        <f>SUM(E35:H35)</f>
        <v>0</v>
      </c>
      <c r="J35" s="677">
        <f>SUM(J31:J34)</f>
        <v>0</v>
      </c>
      <c r="K35" s="676"/>
      <c r="L35" s="676"/>
      <c r="M35" s="1484"/>
      <c r="N35" s="642"/>
      <c r="O35" s="642"/>
      <c r="P35" s="642"/>
      <c r="Q35" s="642"/>
      <c r="R35" s="642"/>
      <c r="S35" s="642"/>
      <c r="T35" s="642"/>
      <c r="U35" s="642"/>
      <c r="V35" s="642"/>
    </row>
    <row r="36" spans="1:22" s="672" customFormat="1">
      <c r="A36" s="1482"/>
      <c r="B36" s="1485" t="s">
        <v>1059</v>
      </c>
      <c r="C36" s="669" t="s">
        <v>1060</v>
      </c>
      <c r="D36" s="667" t="s">
        <v>1020</v>
      </c>
      <c r="E36" s="668">
        <v>9</v>
      </c>
      <c r="F36" s="668">
        <v>47</v>
      </c>
      <c r="G36" s="668">
        <v>139</v>
      </c>
      <c r="H36" s="668">
        <v>2</v>
      </c>
      <c r="I36" s="668">
        <f>SUM(E36:H36)</f>
        <v>197</v>
      </c>
      <c r="J36" s="669">
        <f>IF($D36="Y",$E36*$I$3+$F36*$I$5+$G36*$I$6+$H36*$I$7,0)</f>
        <v>0</v>
      </c>
      <c r="K36" s="669"/>
      <c r="L36" s="669"/>
      <c r="M36" s="1484" t="s">
        <v>1061</v>
      </c>
      <c r="N36" s="671"/>
      <c r="O36" s="671"/>
      <c r="P36" s="671"/>
      <c r="Q36" s="671"/>
      <c r="R36" s="671"/>
      <c r="S36" s="671"/>
      <c r="T36" s="671"/>
      <c r="U36" s="671"/>
      <c r="V36" s="671"/>
    </row>
    <row r="37" spans="1:22" s="672" customFormat="1">
      <c r="A37" s="1482"/>
      <c r="B37" s="1486"/>
      <c r="C37" s="669" t="s">
        <v>1062</v>
      </c>
      <c r="D37" s="667" t="s">
        <v>1020</v>
      </c>
      <c r="E37" s="684"/>
      <c r="F37" s="684">
        <v>5</v>
      </c>
      <c r="G37" s="684">
        <v>10</v>
      </c>
      <c r="H37" s="668"/>
      <c r="I37" s="668">
        <f t="shared" ref="I37:I39" si="10">SUM(E37:H37)</f>
        <v>15</v>
      </c>
      <c r="J37" s="669">
        <f>IF($D37="Y",$E37*$I$3+$F37*$I$5+$G37*$I$6+$H37*$I$7,0)</f>
        <v>0</v>
      </c>
      <c r="K37" s="669"/>
      <c r="L37" s="669"/>
      <c r="M37" s="1484"/>
      <c r="N37" s="671"/>
      <c r="O37" s="671"/>
      <c r="P37" s="671"/>
      <c r="Q37" s="671"/>
      <c r="R37" s="671"/>
      <c r="S37" s="671"/>
      <c r="T37" s="671"/>
      <c r="U37" s="671"/>
      <c r="V37" s="671"/>
    </row>
    <row r="38" spans="1:22" s="672" customFormat="1">
      <c r="A38" s="1482"/>
      <c r="B38" s="1486"/>
      <c r="C38" s="669" t="s">
        <v>1063</v>
      </c>
      <c r="D38" s="667" t="s">
        <v>1020</v>
      </c>
      <c r="E38" s="684">
        <v>2</v>
      </c>
      <c r="F38" s="684">
        <v>15</v>
      </c>
      <c r="G38" s="684">
        <v>8</v>
      </c>
      <c r="H38" s="668"/>
      <c r="I38" s="668">
        <f t="shared" si="10"/>
        <v>25</v>
      </c>
      <c r="J38" s="669">
        <f>IF($D38="Y",$E38*$I$3+$F38*$I$5+$G38*$I$6+$H38*$I$7,0)</f>
        <v>0</v>
      </c>
      <c r="K38" s="669"/>
      <c r="L38" s="669"/>
      <c r="M38" s="1484"/>
      <c r="N38" s="671"/>
      <c r="O38" s="671"/>
      <c r="P38" s="671"/>
      <c r="Q38" s="671"/>
      <c r="R38" s="671"/>
      <c r="S38" s="671"/>
      <c r="T38" s="671"/>
      <c r="U38" s="671"/>
      <c r="V38" s="671"/>
    </row>
    <row r="39" spans="1:22" s="672" customFormat="1">
      <c r="A39" s="1482"/>
      <c r="B39" s="1486"/>
      <c r="C39" s="669" t="s">
        <v>1064</v>
      </c>
      <c r="D39" s="667" t="s">
        <v>1020</v>
      </c>
      <c r="E39" s="684">
        <v>1</v>
      </c>
      <c r="F39" s="684">
        <v>8</v>
      </c>
      <c r="G39" s="684">
        <v>9</v>
      </c>
      <c r="H39" s="668"/>
      <c r="I39" s="668">
        <f t="shared" si="10"/>
        <v>18</v>
      </c>
      <c r="J39" s="669">
        <f>IF($D39="Y",$E39*$I$3+$F39*$I$5+$G39*$I$6+$H39*$I$7,0)</f>
        <v>0</v>
      </c>
      <c r="K39" s="669"/>
      <c r="L39" s="669"/>
      <c r="M39" s="1484"/>
      <c r="N39" s="671"/>
      <c r="O39" s="671"/>
      <c r="P39" s="671"/>
      <c r="Q39" s="671"/>
      <c r="R39" s="671"/>
      <c r="S39" s="671"/>
      <c r="T39" s="671"/>
      <c r="U39" s="671"/>
      <c r="V39" s="671"/>
    </row>
    <row r="40" spans="1:22">
      <c r="A40" s="1482"/>
      <c r="B40" s="1487"/>
      <c r="C40" s="683" t="s">
        <v>1051</v>
      </c>
      <c r="D40" s="677">
        <f>COUNTIF(D36:D39,"Y")</f>
        <v>0</v>
      </c>
      <c r="E40" s="678">
        <f>SUMIF($D$36:$D$39,"=Y",E36:E39)</f>
        <v>0</v>
      </c>
      <c r="F40" s="678">
        <f t="shared" ref="F40:L40" si="11">SUMIF($D$36:$D$39,"=Y",F36:F39)</f>
        <v>0</v>
      </c>
      <c r="G40" s="678">
        <f t="shared" si="11"/>
        <v>0</v>
      </c>
      <c r="H40" s="678">
        <f t="shared" si="11"/>
        <v>0</v>
      </c>
      <c r="I40" s="678">
        <f>SUM(E40:H40)</f>
        <v>0</v>
      </c>
      <c r="J40" s="677">
        <f t="shared" si="11"/>
        <v>0</v>
      </c>
      <c r="K40" s="677">
        <f t="shared" si="11"/>
        <v>0</v>
      </c>
      <c r="L40" s="677">
        <f t="shared" si="11"/>
        <v>0</v>
      </c>
      <c r="M40" s="1484"/>
      <c r="N40" s="642"/>
      <c r="O40" s="642"/>
      <c r="P40" s="642"/>
      <c r="Q40" s="642"/>
      <c r="R40" s="642"/>
      <c r="S40" s="642"/>
      <c r="T40" s="642"/>
      <c r="U40" s="642"/>
      <c r="V40" s="642"/>
    </row>
    <row r="41" spans="1:22" s="672" customFormat="1" ht="48">
      <c r="A41" s="1482"/>
      <c r="B41" s="1488" t="s">
        <v>1065</v>
      </c>
      <c r="C41" s="669" t="s">
        <v>1066</v>
      </c>
      <c r="D41" s="667" t="s">
        <v>1020</v>
      </c>
      <c r="E41" s="668"/>
      <c r="F41" s="684">
        <v>2</v>
      </c>
      <c r="G41" s="684">
        <v>10</v>
      </c>
      <c r="H41" s="668">
        <v>3</v>
      </c>
      <c r="I41" s="668">
        <f t="shared" ref="I41:I52" si="12">SUM(E41:H41)</f>
        <v>15</v>
      </c>
      <c r="J41" s="669">
        <f t="shared" ref="J41:J52" si="13">IF($D41="Y",$E41*$I$3+$F41*$I$5+$G41*$I$6+$H41*$I$7,0)</f>
        <v>0</v>
      </c>
      <c r="K41" s="669"/>
      <c r="L41" s="669"/>
      <c r="M41" s="670" t="s">
        <v>1067</v>
      </c>
      <c r="N41" s="671"/>
      <c r="O41" s="671"/>
      <c r="P41" s="671"/>
      <c r="Q41" s="671"/>
      <c r="R41" s="671"/>
      <c r="S41" s="671"/>
      <c r="T41" s="671"/>
      <c r="U41" s="671"/>
      <c r="V41" s="671"/>
    </row>
    <row r="42" spans="1:22" s="672" customFormat="1">
      <c r="A42" s="1482"/>
      <c r="B42" s="1489"/>
      <c r="C42" s="669" t="s">
        <v>1068</v>
      </c>
      <c r="D42" s="667" t="s">
        <v>1020</v>
      </c>
      <c r="E42" s="668"/>
      <c r="F42" s="684">
        <v>2</v>
      </c>
      <c r="G42" s="684">
        <v>5</v>
      </c>
      <c r="H42" s="668"/>
      <c r="I42" s="668">
        <f t="shared" si="12"/>
        <v>7</v>
      </c>
      <c r="J42" s="669">
        <f t="shared" si="13"/>
        <v>0</v>
      </c>
      <c r="K42" s="669"/>
      <c r="L42" s="669"/>
      <c r="M42" s="670"/>
      <c r="N42" s="671"/>
      <c r="O42" s="671"/>
      <c r="P42" s="671"/>
      <c r="Q42" s="671"/>
      <c r="R42" s="671"/>
      <c r="S42" s="671"/>
      <c r="T42" s="671"/>
      <c r="U42" s="671"/>
      <c r="V42" s="671"/>
    </row>
    <row r="43" spans="1:22" s="672" customFormat="1">
      <c r="A43" s="1482"/>
      <c r="B43" s="1489"/>
      <c r="C43" s="669" t="s">
        <v>1069</v>
      </c>
      <c r="D43" s="667" t="s">
        <v>1020</v>
      </c>
      <c r="E43" s="668"/>
      <c r="F43" s="684">
        <v>2</v>
      </c>
      <c r="G43" s="684">
        <v>5</v>
      </c>
      <c r="H43" s="668"/>
      <c r="I43" s="668">
        <f t="shared" si="12"/>
        <v>7</v>
      </c>
      <c r="J43" s="669">
        <f t="shared" si="13"/>
        <v>0</v>
      </c>
      <c r="K43" s="669"/>
      <c r="L43" s="669"/>
      <c r="M43" s="670"/>
      <c r="N43" s="671"/>
      <c r="O43" s="671"/>
      <c r="P43" s="671"/>
      <c r="Q43" s="671"/>
      <c r="R43" s="671"/>
      <c r="S43" s="671"/>
      <c r="T43" s="671"/>
      <c r="U43" s="671"/>
      <c r="V43" s="671"/>
    </row>
    <row r="44" spans="1:22" s="672" customFormat="1">
      <c r="A44" s="1482"/>
      <c r="B44" s="1489"/>
      <c r="C44" s="669" t="s">
        <v>1070</v>
      </c>
      <c r="D44" s="667" t="s">
        <v>1020</v>
      </c>
      <c r="E44" s="668"/>
      <c r="F44" s="684">
        <v>3</v>
      </c>
      <c r="G44" s="684">
        <v>10</v>
      </c>
      <c r="H44" s="668"/>
      <c r="I44" s="668">
        <f t="shared" si="12"/>
        <v>13</v>
      </c>
      <c r="J44" s="669">
        <f t="shared" si="13"/>
        <v>0</v>
      </c>
      <c r="K44" s="669"/>
      <c r="L44" s="669"/>
      <c r="M44" s="670"/>
      <c r="N44" s="671"/>
      <c r="O44" s="671"/>
      <c r="P44" s="671"/>
      <c r="Q44" s="671"/>
      <c r="R44" s="671"/>
      <c r="S44" s="671"/>
      <c r="T44" s="671"/>
      <c r="U44" s="671"/>
      <c r="V44" s="671"/>
    </row>
    <row r="45" spans="1:22" s="672" customFormat="1">
      <c r="A45" s="1482"/>
      <c r="B45" s="1489"/>
      <c r="C45" s="669" t="s">
        <v>62</v>
      </c>
      <c r="D45" s="667" t="s">
        <v>1020</v>
      </c>
      <c r="E45" s="668"/>
      <c r="F45" s="684">
        <v>2</v>
      </c>
      <c r="G45" s="684">
        <v>5</v>
      </c>
      <c r="H45" s="668"/>
      <c r="I45" s="668">
        <f t="shared" si="12"/>
        <v>7</v>
      </c>
      <c r="J45" s="669">
        <f t="shared" si="13"/>
        <v>0</v>
      </c>
      <c r="K45" s="669"/>
      <c r="L45" s="669"/>
      <c r="M45" s="670"/>
      <c r="N45" s="671"/>
      <c r="O45" s="671"/>
      <c r="P45" s="671"/>
      <c r="Q45" s="671"/>
      <c r="R45" s="671"/>
      <c r="S45" s="671"/>
      <c r="T45" s="671"/>
      <c r="U45" s="671"/>
      <c r="V45" s="671"/>
    </row>
    <row r="46" spans="1:22" s="672" customFormat="1">
      <c r="A46" s="1482"/>
      <c r="B46" s="1489"/>
      <c r="C46" s="669" t="s">
        <v>1071</v>
      </c>
      <c r="D46" s="667" t="s">
        <v>1020</v>
      </c>
      <c r="E46" s="668"/>
      <c r="F46" s="684">
        <v>5</v>
      </c>
      <c r="G46" s="684">
        <v>10</v>
      </c>
      <c r="H46" s="668"/>
      <c r="I46" s="668">
        <f t="shared" si="12"/>
        <v>15</v>
      </c>
      <c r="J46" s="669">
        <f t="shared" si="13"/>
        <v>0</v>
      </c>
      <c r="K46" s="669"/>
      <c r="L46" s="669"/>
      <c r="M46" s="670"/>
      <c r="N46" s="671"/>
      <c r="O46" s="671"/>
      <c r="P46" s="671"/>
      <c r="Q46" s="671"/>
      <c r="R46" s="671"/>
      <c r="S46" s="671"/>
      <c r="T46" s="671"/>
      <c r="U46" s="671"/>
      <c r="V46" s="671"/>
    </row>
    <row r="47" spans="1:22" s="672" customFormat="1">
      <c r="A47" s="1482"/>
      <c r="B47" s="1489"/>
      <c r="C47" s="669" t="s">
        <v>1072</v>
      </c>
      <c r="D47" s="667" t="s">
        <v>1020</v>
      </c>
      <c r="E47" s="668"/>
      <c r="F47" s="668"/>
      <c r="G47" s="668"/>
      <c r="H47" s="668"/>
      <c r="I47" s="668">
        <f t="shared" si="12"/>
        <v>0</v>
      </c>
      <c r="J47" s="669">
        <f t="shared" si="13"/>
        <v>0</v>
      </c>
      <c r="K47" s="669"/>
      <c r="L47" s="669"/>
      <c r="M47" s="670"/>
      <c r="N47" s="671"/>
      <c r="O47" s="671"/>
      <c r="P47" s="671"/>
      <c r="Q47" s="671"/>
      <c r="R47" s="671"/>
      <c r="S47" s="671"/>
      <c r="T47" s="671"/>
      <c r="U47" s="671"/>
      <c r="V47" s="671"/>
    </row>
    <row r="48" spans="1:22" s="672" customFormat="1">
      <c r="A48" s="1482"/>
      <c r="B48" s="1489"/>
      <c r="C48" s="685" t="s">
        <v>1073</v>
      </c>
      <c r="D48" s="667" t="s">
        <v>1020</v>
      </c>
      <c r="E48" s="668">
        <v>2</v>
      </c>
      <c r="F48" s="668">
        <v>8</v>
      </c>
      <c r="G48" s="668">
        <v>25</v>
      </c>
      <c r="H48" s="668"/>
      <c r="I48" s="668">
        <f t="shared" si="12"/>
        <v>35</v>
      </c>
      <c r="J48" s="669">
        <f>IF($D48="Y",$E48*$I$3+$F48*$I$5+$G48*$I$6+$H48*$I$7,0)</f>
        <v>0</v>
      </c>
      <c r="K48" s="669"/>
      <c r="L48" s="669"/>
      <c r="M48" s="670"/>
      <c r="N48" s="671"/>
      <c r="O48" s="671"/>
      <c r="P48" s="671"/>
      <c r="Q48" s="671"/>
      <c r="R48" s="671"/>
      <c r="S48" s="671"/>
      <c r="T48" s="671"/>
      <c r="U48" s="671"/>
      <c r="V48" s="671"/>
    </row>
    <row r="49" spans="1:22" s="672" customFormat="1">
      <c r="A49" s="1482"/>
      <c r="B49" s="1489"/>
      <c r="C49" s="669" t="s">
        <v>1074</v>
      </c>
      <c r="D49" s="667" t="s">
        <v>1020</v>
      </c>
      <c r="E49" s="668">
        <v>1</v>
      </c>
      <c r="F49" s="668">
        <v>5</v>
      </c>
      <c r="G49" s="668">
        <v>8</v>
      </c>
      <c r="H49" s="668"/>
      <c r="I49" s="668">
        <f t="shared" si="12"/>
        <v>14</v>
      </c>
      <c r="J49" s="669">
        <f t="shared" si="13"/>
        <v>0</v>
      </c>
      <c r="K49" s="669"/>
      <c r="L49" s="669"/>
      <c r="M49" s="670"/>
      <c r="N49" s="671"/>
      <c r="O49" s="671"/>
      <c r="P49" s="671"/>
      <c r="Q49" s="671"/>
      <c r="R49" s="671"/>
      <c r="S49" s="671"/>
      <c r="T49" s="671"/>
      <c r="U49" s="671"/>
      <c r="V49" s="671"/>
    </row>
    <row r="50" spans="1:22" s="672" customFormat="1">
      <c r="A50" s="1482"/>
      <c r="B50" s="1489"/>
      <c r="C50" s="669" t="s">
        <v>1075</v>
      </c>
      <c r="D50" s="667" t="s">
        <v>1020</v>
      </c>
      <c r="E50" s="668">
        <v>1</v>
      </c>
      <c r="F50" s="668">
        <v>3</v>
      </c>
      <c r="G50" s="668">
        <v>8</v>
      </c>
      <c r="H50" s="668"/>
      <c r="I50" s="668">
        <f t="shared" si="12"/>
        <v>12</v>
      </c>
      <c r="J50" s="669">
        <f t="shared" si="13"/>
        <v>0</v>
      </c>
      <c r="K50" s="669"/>
      <c r="L50" s="669"/>
      <c r="M50" s="670"/>
      <c r="N50" s="671"/>
      <c r="O50" s="671"/>
      <c r="P50" s="671"/>
      <c r="Q50" s="671"/>
      <c r="R50" s="671"/>
      <c r="S50" s="671"/>
      <c r="T50" s="671"/>
      <c r="U50" s="671"/>
      <c r="V50" s="671"/>
    </row>
    <row r="51" spans="1:22" s="672" customFormat="1">
      <c r="A51" s="1482"/>
      <c r="B51" s="1489"/>
      <c r="C51" s="669" t="s">
        <v>1076</v>
      </c>
      <c r="D51" s="667" t="s">
        <v>1020</v>
      </c>
      <c r="E51" s="668">
        <v>1</v>
      </c>
      <c r="F51" s="684">
        <v>10</v>
      </c>
      <c r="G51" s="684">
        <v>20</v>
      </c>
      <c r="H51" s="668"/>
      <c r="I51" s="668">
        <f t="shared" si="12"/>
        <v>31</v>
      </c>
      <c r="J51" s="669">
        <f t="shared" si="13"/>
        <v>0</v>
      </c>
      <c r="K51" s="669"/>
      <c r="L51" s="669"/>
      <c r="M51" s="686" t="s">
        <v>1077</v>
      </c>
      <c r="N51" s="671"/>
      <c r="O51" s="671"/>
      <c r="P51" s="671"/>
      <c r="Q51" s="671"/>
      <c r="R51" s="671"/>
      <c r="S51" s="671"/>
      <c r="T51" s="671"/>
      <c r="U51" s="671"/>
      <c r="V51" s="671"/>
    </row>
    <row r="52" spans="1:22" s="672" customFormat="1">
      <c r="A52" s="1482"/>
      <c r="B52" s="1489"/>
      <c r="C52" s="669" t="s">
        <v>1078</v>
      </c>
      <c r="D52" s="667" t="s">
        <v>1020</v>
      </c>
      <c r="E52" s="668">
        <v>1</v>
      </c>
      <c r="F52" s="684">
        <v>10</v>
      </c>
      <c r="G52" s="684">
        <v>20</v>
      </c>
      <c r="H52" s="668"/>
      <c r="I52" s="668">
        <f t="shared" si="12"/>
        <v>31</v>
      </c>
      <c r="J52" s="669">
        <f t="shared" si="13"/>
        <v>0</v>
      </c>
      <c r="K52" s="669"/>
      <c r="L52" s="669"/>
      <c r="M52" s="686"/>
      <c r="N52" s="671"/>
      <c r="O52" s="671"/>
      <c r="P52" s="671"/>
      <c r="Q52" s="671"/>
      <c r="R52" s="671"/>
      <c r="S52" s="671"/>
      <c r="T52" s="671"/>
      <c r="U52" s="671"/>
      <c r="V52" s="671"/>
    </row>
    <row r="53" spans="1:22">
      <c r="A53" s="1482"/>
      <c r="B53" s="1490"/>
      <c r="C53" s="683" t="s">
        <v>1051</v>
      </c>
      <c r="D53" s="677">
        <f>COUNTIF(D41:D52,"Y")</f>
        <v>0</v>
      </c>
      <c r="E53" s="678">
        <f>SUMIF($D$41:$D$52,"=Y",E41:E52)</f>
        <v>0</v>
      </c>
      <c r="F53" s="678">
        <f t="shared" ref="F53:H53" si="14">SUMIF($D$41:$D$52,"=Y",F41:F52)</f>
        <v>0</v>
      </c>
      <c r="G53" s="678">
        <f t="shared" si="14"/>
        <v>0</v>
      </c>
      <c r="H53" s="678">
        <f t="shared" si="14"/>
        <v>0</v>
      </c>
      <c r="I53" s="678">
        <f>SUM(E53:H53)</f>
        <v>0</v>
      </c>
      <c r="J53" s="677">
        <f>SUM(J41:J52)</f>
        <v>0</v>
      </c>
      <c r="K53" s="676"/>
      <c r="L53" s="676"/>
      <c r="M53" s="687" t="s">
        <v>1079</v>
      </c>
      <c r="N53" s="642"/>
      <c r="O53" s="642"/>
      <c r="P53" s="642"/>
      <c r="Q53" s="642"/>
      <c r="R53" s="642"/>
      <c r="S53" s="642"/>
      <c r="T53" s="642"/>
      <c r="U53" s="642"/>
      <c r="V53" s="642"/>
    </row>
    <row r="54" spans="1:22" s="672" customFormat="1">
      <c r="A54" s="1482"/>
      <c r="B54" s="1480" t="s">
        <v>1080</v>
      </c>
      <c r="C54" s="669" t="s">
        <v>1081</v>
      </c>
      <c r="D54" s="667" t="s">
        <v>1020</v>
      </c>
      <c r="E54" s="668">
        <v>2</v>
      </c>
      <c r="F54" s="668">
        <v>3</v>
      </c>
      <c r="G54" s="668">
        <v>10</v>
      </c>
      <c r="H54" s="668">
        <v>1</v>
      </c>
      <c r="I54" s="668">
        <f>SUM(E54:H54)</f>
        <v>16</v>
      </c>
      <c r="J54" s="669">
        <f>IF($D54="Y",$E54*$I$3+$F54*$I$5+$G54*$I$6+$H54*$I$7,0)</f>
        <v>0</v>
      </c>
      <c r="K54" s="669"/>
      <c r="L54" s="669"/>
      <c r="M54" s="1491" t="s">
        <v>1082</v>
      </c>
      <c r="N54" s="671"/>
      <c r="O54" s="671"/>
      <c r="P54" s="671"/>
      <c r="Q54" s="671"/>
      <c r="R54" s="671"/>
      <c r="S54" s="671"/>
      <c r="T54" s="671"/>
      <c r="U54" s="671"/>
      <c r="V54" s="671"/>
    </row>
    <row r="55" spans="1:22" s="672" customFormat="1">
      <c r="A55" s="1482"/>
      <c r="B55" s="1480"/>
      <c r="C55" s="669" t="s">
        <v>537</v>
      </c>
      <c r="D55" s="667" t="s">
        <v>1020</v>
      </c>
      <c r="E55" s="688">
        <v>15</v>
      </c>
      <c r="F55" s="688">
        <v>75</v>
      </c>
      <c r="G55" s="688">
        <v>180</v>
      </c>
      <c r="H55" s="668">
        <v>2</v>
      </c>
      <c r="I55" s="668">
        <f>SUM(E55:H55)</f>
        <v>272</v>
      </c>
      <c r="J55" s="669">
        <f>IF($D55="Y",$E55*$I$3+$F55*$I$5+$G55*$I$6+$H55*$I$7,0)</f>
        <v>0</v>
      </c>
      <c r="K55" s="669"/>
      <c r="L55" s="669"/>
      <c r="M55" s="1491"/>
      <c r="N55" s="671"/>
      <c r="O55" s="671"/>
      <c r="P55" s="671"/>
      <c r="Q55" s="671"/>
      <c r="R55" s="671"/>
      <c r="S55" s="671"/>
      <c r="T55" s="671"/>
      <c r="U55" s="671"/>
      <c r="V55" s="671"/>
    </row>
    <row r="56" spans="1:22">
      <c r="A56" s="1482"/>
      <c r="B56" s="1480"/>
      <c r="C56" s="683" t="s">
        <v>1051</v>
      </c>
      <c r="D56" s="677">
        <f>COUNTIF(D54:D55,"Y")</f>
        <v>0</v>
      </c>
      <c r="E56" s="678">
        <f>SUMIF($D$54:$D$55,"=Y",E54:E55)</f>
        <v>0</v>
      </c>
      <c r="F56" s="678">
        <f t="shared" ref="F56:H56" si="15">SUMIF($D$54:$D$55,"=Y",F54:F55)</f>
        <v>0</v>
      </c>
      <c r="G56" s="678">
        <f t="shared" si="15"/>
        <v>0</v>
      </c>
      <c r="H56" s="678">
        <f t="shared" si="15"/>
        <v>0</v>
      </c>
      <c r="I56" s="678">
        <f>SUM(E56:H56)</f>
        <v>0</v>
      </c>
      <c r="J56" s="677">
        <f>SUM(J54:J55)</f>
        <v>0</v>
      </c>
      <c r="K56" s="676"/>
      <c r="L56" s="676"/>
      <c r="M56" s="1491"/>
      <c r="N56" s="642"/>
      <c r="O56" s="642"/>
      <c r="P56" s="642"/>
      <c r="Q56" s="642"/>
      <c r="R56" s="642"/>
      <c r="S56" s="642"/>
      <c r="T56" s="642"/>
      <c r="U56" s="642"/>
      <c r="V56" s="642"/>
    </row>
    <row r="57" spans="1:22" s="672" customFormat="1">
      <c r="A57" s="1482"/>
      <c r="B57" s="1480" t="s">
        <v>1083</v>
      </c>
      <c r="C57" s="669" t="s">
        <v>1084</v>
      </c>
      <c r="D57" s="667" t="s">
        <v>1020</v>
      </c>
      <c r="E57" s="668"/>
      <c r="F57" s="684"/>
      <c r="G57" s="684">
        <v>2</v>
      </c>
      <c r="H57" s="684">
        <v>5</v>
      </c>
      <c r="I57" s="668">
        <f t="shared" ref="I57:I73" si="16">SUM(E57:H57)</f>
        <v>7</v>
      </c>
      <c r="J57" s="669">
        <f t="shared" ref="J57:J73" si="17">IF($D57="Y",$E57*$I$3+$F57*$I$5+$G57*$I$6+$H57*$I$7,0)</f>
        <v>0</v>
      </c>
      <c r="K57" s="669"/>
      <c r="L57" s="669"/>
      <c r="M57" s="1476" t="s">
        <v>1085</v>
      </c>
      <c r="N57" s="671"/>
      <c r="O57" s="671"/>
      <c r="P57" s="671"/>
      <c r="Q57" s="671"/>
      <c r="R57" s="671"/>
      <c r="S57" s="671"/>
      <c r="T57" s="671"/>
      <c r="U57" s="671"/>
      <c r="V57" s="671"/>
    </row>
    <row r="58" spans="1:22" s="672" customFormat="1">
      <c r="A58" s="1482"/>
      <c r="B58" s="1480"/>
      <c r="C58" s="669" t="s">
        <v>1086</v>
      </c>
      <c r="D58" s="667" t="s">
        <v>1020</v>
      </c>
      <c r="E58" s="668"/>
      <c r="F58" s="684">
        <v>5</v>
      </c>
      <c r="G58" s="684">
        <v>10</v>
      </c>
      <c r="H58" s="684"/>
      <c r="I58" s="668">
        <f t="shared" si="16"/>
        <v>15</v>
      </c>
      <c r="J58" s="669">
        <f t="shared" si="17"/>
        <v>0</v>
      </c>
      <c r="K58" s="669"/>
      <c r="L58" s="669"/>
      <c r="M58" s="1476"/>
      <c r="N58" s="671"/>
      <c r="O58" s="671"/>
      <c r="P58" s="671"/>
      <c r="Q58" s="671"/>
      <c r="R58" s="671"/>
      <c r="S58" s="671"/>
      <c r="T58" s="671"/>
      <c r="U58" s="671"/>
      <c r="V58" s="671"/>
    </row>
    <row r="59" spans="1:22" s="672" customFormat="1">
      <c r="A59" s="1482"/>
      <c r="B59" s="1480"/>
      <c r="C59" s="669" t="s">
        <v>1087</v>
      </c>
      <c r="D59" s="667" t="s">
        <v>1020</v>
      </c>
      <c r="E59" s="668"/>
      <c r="F59" s="684"/>
      <c r="G59" s="684">
        <f>10*K59</f>
        <v>10</v>
      </c>
      <c r="H59" s="684"/>
      <c r="I59" s="668">
        <f t="shared" si="16"/>
        <v>10</v>
      </c>
      <c r="J59" s="669">
        <f t="shared" si="17"/>
        <v>0</v>
      </c>
      <c r="K59" s="667">
        <v>1</v>
      </c>
      <c r="L59" s="669"/>
      <c r="M59" s="1476"/>
      <c r="N59" s="671"/>
      <c r="O59" s="671"/>
      <c r="P59" s="671"/>
      <c r="Q59" s="671"/>
      <c r="R59" s="671"/>
      <c r="S59" s="671"/>
      <c r="T59" s="671"/>
      <c r="U59" s="671"/>
      <c r="V59" s="671"/>
    </row>
    <row r="60" spans="1:22" s="672" customFormat="1">
      <c r="A60" s="1482"/>
      <c r="B60" s="1480"/>
      <c r="C60" s="669" t="s">
        <v>1088</v>
      </c>
      <c r="D60" s="667" t="s">
        <v>1020</v>
      </c>
      <c r="E60" s="668">
        <v>1</v>
      </c>
      <c r="F60" s="684">
        <v>5</v>
      </c>
      <c r="G60" s="684">
        <v>10</v>
      </c>
      <c r="H60" s="684"/>
      <c r="I60" s="668">
        <f t="shared" si="16"/>
        <v>16</v>
      </c>
      <c r="J60" s="669">
        <f t="shared" si="17"/>
        <v>0</v>
      </c>
      <c r="K60" s="669"/>
      <c r="L60" s="669"/>
      <c r="M60" s="1476"/>
      <c r="N60" s="671"/>
      <c r="O60" s="671"/>
      <c r="P60" s="671"/>
      <c r="Q60" s="671"/>
      <c r="R60" s="671"/>
      <c r="S60" s="671"/>
      <c r="T60" s="671"/>
      <c r="U60" s="671"/>
      <c r="V60" s="671"/>
    </row>
    <row r="61" spans="1:22" s="672" customFormat="1">
      <c r="A61" s="1482"/>
      <c r="B61" s="1480"/>
      <c r="C61" s="669" t="s">
        <v>1089</v>
      </c>
      <c r="D61" s="667" t="s">
        <v>1020</v>
      </c>
      <c r="E61" s="668"/>
      <c r="F61" s="684">
        <v>2</v>
      </c>
      <c r="G61" s="684">
        <v>5</v>
      </c>
      <c r="H61" s="684">
        <v>10</v>
      </c>
      <c r="I61" s="668">
        <f t="shared" si="16"/>
        <v>17</v>
      </c>
      <c r="J61" s="669">
        <f t="shared" si="17"/>
        <v>0</v>
      </c>
      <c r="K61" s="669"/>
      <c r="L61" s="669"/>
      <c r="M61" s="1476"/>
      <c r="N61" s="671"/>
      <c r="O61" s="671"/>
      <c r="P61" s="671"/>
      <c r="Q61" s="671"/>
      <c r="R61" s="671"/>
      <c r="S61" s="671"/>
      <c r="T61" s="671"/>
      <c r="U61" s="671"/>
      <c r="V61" s="671"/>
    </row>
    <row r="62" spans="1:22" s="672" customFormat="1">
      <c r="A62" s="1482"/>
      <c r="B62" s="1480"/>
      <c r="C62" s="669" t="s">
        <v>1090</v>
      </c>
      <c r="D62" s="667" t="s">
        <v>1020</v>
      </c>
      <c r="E62" s="668"/>
      <c r="F62" s="684">
        <v>5</v>
      </c>
      <c r="G62" s="684">
        <v>10</v>
      </c>
      <c r="H62" s="684"/>
      <c r="I62" s="668">
        <f t="shared" si="16"/>
        <v>15</v>
      </c>
      <c r="J62" s="669">
        <f t="shared" si="17"/>
        <v>0</v>
      </c>
      <c r="K62" s="669"/>
      <c r="L62" s="669"/>
      <c r="M62" s="1476"/>
      <c r="N62" s="671"/>
      <c r="O62" s="671"/>
      <c r="P62" s="671"/>
      <c r="Q62" s="671"/>
      <c r="R62" s="671"/>
      <c r="S62" s="671"/>
      <c r="T62" s="671"/>
      <c r="U62" s="671"/>
      <c r="V62" s="671"/>
    </row>
    <row r="63" spans="1:22" s="672" customFormat="1">
      <c r="A63" s="1482"/>
      <c r="B63" s="1480"/>
      <c r="C63" s="669" t="s">
        <v>1091</v>
      </c>
      <c r="D63" s="667" t="s">
        <v>1020</v>
      </c>
      <c r="E63" s="684"/>
      <c r="F63" s="684">
        <v>2</v>
      </c>
      <c r="G63" s="684">
        <v>5</v>
      </c>
      <c r="H63" s="684"/>
      <c r="I63" s="668">
        <f t="shared" si="16"/>
        <v>7</v>
      </c>
      <c r="J63" s="669">
        <f t="shared" si="17"/>
        <v>0</v>
      </c>
      <c r="K63" s="669"/>
      <c r="L63" s="669"/>
      <c r="M63" s="1476"/>
      <c r="N63" s="671"/>
      <c r="O63" s="671"/>
      <c r="P63" s="671"/>
      <c r="Q63" s="671"/>
      <c r="R63" s="671"/>
      <c r="S63" s="671"/>
      <c r="T63" s="671"/>
      <c r="U63" s="671"/>
      <c r="V63" s="671"/>
    </row>
    <row r="64" spans="1:22" s="672" customFormat="1">
      <c r="A64" s="1482"/>
      <c r="B64" s="1480"/>
      <c r="C64" s="669" t="s">
        <v>1092</v>
      </c>
      <c r="D64" s="667" t="s">
        <v>1020</v>
      </c>
      <c r="E64" s="684">
        <v>1</v>
      </c>
      <c r="F64" s="684">
        <v>5</v>
      </c>
      <c r="G64" s="684">
        <v>10</v>
      </c>
      <c r="H64" s="684"/>
      <c r="I64" s="668">
        <f t="shared" si="16"/>
        <v>16</v>
      </c>
      <c r="J64" s="669">
        <f t="shared" si="17"/>
        <v>0</v>
      </c>
      <c r="K64" s="669"/>
      <c r="L64" s="669"/>
      <c r="M64" s="1476"/>
      <c r="N64" s="671"/>
      <c r="O64" s="671"/>
      <c r="P64" s="671"/>
      <c r="Q64" s="671"/>
      <c r="R64" s="671"/>
      <c r="S64" s="671"/>
      <c r="T64" s="671"/>
      <c r="U64" s="671"/>
      <c r="V64" s="671"/>
    </row>
    <row r="65" spans="1:22" s="672" customFormat="1">
      <c r="A65" s="1482"/>
      <c r="B65" s="1480"/>
      <c r="C65" s="669" t="s">
        <v>1093</v>
      </c>
      <c r="D65" s="667" t="s">
        <v>1020</v>
      </c>
      <c r="E65" s="684">
        <v>1</v>
      </c>
      <c r="F65" s="684">
        <v>3</v>
      </c>
      <c r="G65" s="684">
        <v>10</v>
      </c>
      <c r="H65" s="684">
        <v>10</v>
      </c>
      <c r="I65" s="668">
        <f t="shared" si="16"/>
        <v>24</v>
      </c>
      <c r="J65" s="669">
        <f t="shared" si="17"/>
        <v>0</v>
      </c>
      <c r="K65" s="669"/>
      <c r="L65" s="669"/>
      <c r="M65" s="1476"/>
      <c r="N65" s="671"/>
      <c r="O65" s="671"/>
      <c r="P65" s="671"/>
      <c r="Q65" s="671"/>
      <c r="R65" s="671"/>
      <c r="S65" s="671"/>
      <c r="T65" s="671"/>
      <c r="U65" s="671"/>
      <c r="V65" s="671"/>
    </row>
    <row r="66" spans="1:22" s="672" customFormat="1">
      <c r="A66" s="1482"/>
      <c r="B66" s="1480"/>
      <c r="C66" s="669" t="s">
        <v>1094</v>
      </c>
      <c r="D66" s="667" t="s">
        <v>1020</v>
      </c>
      <c r="E66" s="684"/>
      <c r="F66" s="684">
        <v>5</v>
      </c>
      <c r="G66" s="684">
        <v>5</v>
      </c>
      <c r="H66" s="684"/>
      <c r="I66" s="668">
        <f t="shared" si="16"/>
        <v>10</v>
      </c>
      <c r="J66" s="669">
        <f t="shared" si="17"/>
        <v>0</v>
      </c>
      <c r="K66" s="669"/>
      <c r="L66" s="669"/>
      <c r="M66" s="1476"/>
      <c r="N66" s="671"/>
      <c r="O66" s="671"/>
      <c r="P66" s="671"/>
      <c r="Q66" s="671"/>
      <c r="R66" s="671"/>
      <c r="S66" s="671"/>
      <c r="T66" s="671"/>
      <c r="U66" s="671"/>
      <c r="V66" s="671"/>
    </row>
    <row r="67" spans="1:22" s="672" customFormat="1">
      <c r="A67" s="1482"/>
      <c r="B67" s="1480"/>
      <c r="C67" s="669" t="s">
        <v>1095</v>
      </c>
      <c r="D67" s="667" t="s">
        <v>1020</v>
      </c>
      <c r="E67" s="684"/>
      <c r="F67" s="684">
        <v>8</v>
      </c>
      <c r="G67" s="684">
        <v>5</v>
      </c>
      <c r="H67" s="684"/>
      <c r="I67" s="668">
        <f t="shared" si="16"/>
        <v>13</v>
      </c>
      <c r="J67" s="669">
        <f t="shared" si="17"/>
        <v>0</v>
      </c>
      <c r="K67" s="669"/>
      <c r="L67" s="669"/>
      <c r="M67" s="1476"/>
      <c r="N67" s="671"/>
      <c r="O67" s="671"/>
      <c r="P67" s="671"/>
      <c r="Q67" s="671"/>
      <c r="R67" s="671"/>
      <c r="S67" s="671"/>
      <c r="T67" s="671"/>
      <c r="U67" s="671"/>
      <c r="V67" s="671"/>
    </row>
    <row r="68" spans="1:22" s="672" customFormat="1">
      <c r="A68" s="1482"/>
      <c r="B68" s="1480"/>
      <c r="C68" s="669" t="s">
        <v>1096</v>
      </c>
      <c r="D68" s="667" t="s">
        <v>1020</v>
      </c>
      <c r="E68" s="684">
        <v>1</v>
      </c>
      <c r="F68" s="684">
        <v>3</v>
      </c>
      <c r="G68" s="684">
        <v>8</v>
      </c>
      <c r="H68" s="684">
        <v>10</v>
      </c>
      <c r="I68" s="668">
        <f t="shared" si="16"/>
        <v>22</v>
      </c>
      <c r="J68" s="669">
        <f t="shared" si="17"/>
        <v>0</v>
      </c>
      <c r="K68" s="669"/>
      <c r="L68" s="669"/>
      <c r="M68" s="1476"/>
      <c r="N68" s="671"/>
      <c r="O68" s="671"/>
      <c r="P68" s="671"/>
      <c r="Q68" s="671"/>
      <c r="R68" s="671"/>
      <c r="S68" s="671"/>
      <c r="T68" s="671"/>
      <c r="U68" s="671"/>
      <c r="V68" s="671"/>
    </row>
    <row r="69" spans="1:22" s="672" customFormat="1">
      <c r="A69" s="1482"/>
      <c r="B69" s="1480"/>
      <c r="C69" s="669" t="s">
        <v>1097</v>
      </c>
      <c r="D69" s="667" t="s">
        <v>1020</v>
      </c>
      <c r="E69" s="684"/>
      <c r="F69" s="684">
        <v>3</v>
      </c>
      <c r="G69" s="684">
        <v>5</v>
      </c>
      <c r="H69" s="684"/>
      <c r="I69" s="668">
        <f t="shared" si="16"/>
        <v>8</v>
      </c>
      <c r="J69" s="669">
        <f t="shared" si="17"/>
        <v>0</v>
      </c>
      <c r="K69" s="669"/>
      <c r="L69" s="669"/>
      <c r="M69" s="1476"/>
      <c r="N69" s="671"/>
      <c r="O69" s="671"/>
      <c r="P69" s="671"/>
      <c r="Q69" s="671"/>
      <c r="R69" s="671"/>
      <c r="S69" s="671"/>
      <c r="T69" s="671"/>
      <c r="U69" s="671"/>
      <c r="V69" s="671"/>
    </row>
    <row r="70" spans="1:22" s="672" customFormat="1">
      <c r="A70" s="1482"/>
      <c r="B70" s="1480"/>
      <c r="C70" s="669" t="s">
        <v>1098</v>
      </c>
      <c r="D70" s="667" t="s">
        <v>1020</v>
      </c>
      <c r="E70" s="684"/>
      <c r="F70" s="684"/>
      <c r="G70" s="684">
        <v>5</v>
      </c>
      <c r="H70" s="684"/>
      <c r="I70" s="668">
        <f t="shared" si="16"/>
        <v>5</v>
      </c>
      <c r="J70" s="669">
        <f t="shared" si="17"/>
        <v>0</v>
      </c>
      <c r="K70" s="669"/>
      <c r="L70" s="669"/>
      <c r="M70" s="1476"/>
      <c r="N70" s="671"/>
      <c r="O70" s="671"/>
      <c r="P70" s="671"/>
      <c r="Q70" s="671"/>
      <c r="R70" s="671"/>
      <c r="S70" s="671"/>
      <c r="T70" s="671"/>
      <c r="U70" s="671"/>
      <c r="V70" s="671"/>
    </row>
    <row r="71" spans="1:22" s="672" customFormat="1">
      <c r="A71" s="1482"/>
      <c r="B71" s="1480"/>
      <c r="C71" s="669" t="s">
        <v>1099</v>
      </c>
      <c r="D71" s="667" t="s">
        <v>1020</v>
      </c>
      <c r="E71" s="684"/>
      <c r="F71" s="684"/>
      <c r="G71" s="684">
        <v>5</v>
      </c>
      <c r="H71" s="684"/>
      <c r="I71" s="668">
        <f t="shared" si="16"/>
        <v>5</v>
      </c>
      <c r="J71" s="669">
        <f t="shared" si="17"/>
        <v>0</v>
      </c>
      <c r="K71" s="669"/>
      <c r="L71" s="669"/>
      <c r="M71" s="1476"/>
      <c r="N71" s="671"/>
      <c r="O71" s="671"/>
      <c r="P71" s="671"/>
      <c r="Q71" s="671"/>
      <c r="R71" s="671"/>
      <c r="S71" s="671"/>
      <c r="T71" s="671"/>
      <c r="U71" s="671"/>
      <c r="V71" s="671"/>
    </row>
    <row r="72" spans="1:22" s="672" customFormat="1">
      <c r="A72" s="1482"/>
      <c r="B72" s="1480"/>
      <c r="C72" s="669" t="s">
        <v>1100</v>
      </c>
      <c r="D72" s="667" t="s">
        <v>1020</v>
      </c>
      <c r="E72" s="684"/>
      <c r="F72" s="684">
        <v>2</v>
      </c>
      <c r="G72" s="684">
        <v>5</v>
      </c>
      <c r="H72" s="684"/>
      <c r="I72" s="668">
        <f t="shared" si="16"/>
        <v>7</v>
      </c>
      <c r="J72" s="669">
        <f t="shared" si="17"/>
        <v>0</v>
      </c>
      <c r="K72" s="669"/>
      <c r="L72" s="669"/>
      <c r="M72" s="1476"/>
      <c r="N72" s="671"/>
      <c r="O72" s="671"/>
      <c r="P72" s="671"/>
      <c r="Q72" s="671"/>
      <c r="R72" s="671"/>
      <c r="S72" s="671"/>
      <c r="T72" s="671"/>
      <c r="U72" s="671"/>
      <c r="V72" s="671"/>
    </row>
    <row r="73" spans="1:22" s="672" customFormat="1">
      <c r="A73" s="1482"/>
      <c r="B73" s="1480"/>
      <c r="C73" s="669" t="s">
        <v>1101</v>
      </c>
      <c r="D73" s="667" t="s">
        <v>1020</v>
      </c>
      <c r="E73" s="684">
        <v>1</v>
      </c>
      <c r="F73" s="684">
        <v>2</v>
      </c>
      <c r="G73" s="684">
        <v>5</v>
      </c>
      <c r="H73" s="684"/>
      <c r="I73" s="668">
        <f t="shared" si="16"/>
        <v>8</v>
      </c>
      <c r="J73" s="669">
        <f t="shared" si="17"/>
        <v>0</v>
      </c>
      <c r="K73" s="669"/>
      <c r="L73" s="669"/>
      <c r="M73" s="670"/>
      <c r="N73" s="671"/>
      <c r="O73" s="671"/>
      <c r="P73" s="671"/>
      <c r="Q73" s="671"/>
      <c r="R73" s="671"/>
      <c r="S73" s="671"/>
      <c r="T73" s="671"/>
      <c r="U73" s="671"/>
      <c r="V73" s="671"/>
    </row>
    <row r="74" spans="1:22">
      <c r="A74" s="1482"/>
      <c r="B74" s="1480"/>
      <c r="C74" s="683" t="s">
        <v>1051</v>
      </c>
      <c r="D74" s="677">
        <f>COUNTIF(D57:D73,"Y")</f>
        <v>0</v>
      </c>
      <c r="E74" s="678">
        <f>SUMIF($D$57:$D$73,"=Y",E57:E73)</f>
        <v>0</v>
      </c>
      <c r="F74" s="678">
        <f t="shared" ref="F74:H74" si="18">SUMIF($D$57:$D$73,"=Y",F57:F73)</f>
        <v>0</v>
      </c>
      <c r="G74" s="678">
        <f t="shared" si="18"/>
        <v>0</v>
      </c>
      <c r="H74" s="678">
        <f t="shared" si="18"/>
        <v>0</v>
      </c>
      <c r="I74" s="678">
        <f>SUM(E74:H74)</f>
        <v>0</v>
      </c>
      <c r="J74" s="677">
        <f>SUM(J57:J73)</f>
        <v>0</v>
      </c>
      <c r="K74" s="676"/>
      <c r="L74" s="676"/>
      <c r="M74" s="689"/>
      <c r="N74" s="642"/>
      <c r="O74" s="642"/>
      <c r="P74" s="642"/>
      <c r="Q74" s="642"/>
      <c r="R74" s="642"/>
      <c r="S74" s="642"/>
      <c r="T74" s="642"/>
      <c r="U74" s="642"/>
      <c r="V74" s="642"/>
    </row>
    <row r="75" spans="1:22" s="672" customFormat="1">
      <c r="A75" s="1482"/>
      <c r="B75" s="1480" t="s">
        <v>1102</v>
      </c>
      <c r="C75" s="669" t="s">
        <v>1103</v>
      </c>
      <c r="D75" s="667" t="s">
        <v>1020</v>
      </c>
      <c r="E75" s="668">
        <v>1</v>
      </c>
      <c r="F75" s="684">
        <v>2</v>
      </c>
      <c r="G75" s="684">
        <v>5</v>
      </c>
      <c r="H75" s="1493">
        <v>8</v>
      </c>
      <c r="I75" s="668">
        <f>SUM(E75:H75)</f>
        <v>16</v>
      </c>
      <c r="J75" s="669">
        <f t="shared" ref="J75:J86" si="19">IF($D75="Y",$E75*$I$3+$F75*$I$5+$G75*$I$6+$H75*$I$7,0)</f>
        <v>0</v>
      </c>
      <c r="K75" s="669"/>
      <c r="L75" s="669"/>
      <c r="M75" s="1491" t="s">
        <v>1104</v>
      </c>
      <c r="N75" s="671"/>
      <c r="O75" s="671"/>
      <c r="P75" s="671"/>
      <c r="Q75" s="671"/>
      <c r="R75" s="671"/>
      <c r="S75" s="671"/>
      <c r="T75" s="671"/>
      <c r="U75" s="671"/>
      <c r="V75" s="671"/>
    </row>
    <row r="76" spans="1:22" s="672" customFormat="1">
      <c r="A76" s="1482"/>
      <c r="B76" s="1480"/>
      <c r="C76" s="669" t="s">
        <v>1105</v>
      </c>
      <c r="D76" s="667" t="s">
        <v>1020</v>
      </c>
      <c r="E76" s="668">
        <v>1</v>
      </c>
      <c r="F76" s="684">
        <v>5</v>
      </c>
      <c r="G76" s="684">
        <v>4</v>
      </c>
      <c r="H76" s="1494"/>
      <c r="I76" s="668">
        <f t="shared" ref="I76:I86" si="20">SUM(E76:H76)</f>
        <v>10</v>
      </c>
      <c r="J76" s="669">
        <f t="shared" si="19"/>
        <v>0</v>
      </c>
      <c r="K76" s="669"/>
      <c r="L76" s="669"/>
      <c r="M76" s="1491"/>
      <c r="N76" s="671"/>
      <c r="O76" s="671"/>
      <c r="P76" s="671"/>
      <c r="Q76" s="671"/>
      <c r="R76" s="671"/>
      <c r="S76" s="671"/>
      <c r="T76" s="671"/>
      <c r="U76" s="671"/>
      <c r="V76" s="671"/>
    </row>
    <row r="77" spans="1:22" s="672" customFormat="1">
      <c r="A77" s="1482"/>
      <c r="B77" s="1480"/>
      <c r="C77" s="669" t="s">
        <v>97</v>
      </c>
      <c r="D77" s="667" t="s">
        <v>1020</v>
      </c>
      <c r="E77" s="668"/>
      <c r="F77" s="684">
        <v>2</v>
      </c>
      <c r="G77" s="684">
        <v>10</v>
      </c>
      <c r="H77" s="1494"/>
      <c r="I77" s="668">
        <f t="shared" si="20"/>
        <v>12</v>
      </c>
      <c r="J77" s="669">
        <f t="shared" si="19"/>
        <v>0</v>
      </c>
      <c r="K77" s="669"/>
      <c r="L77" s="669"/>
      <c r="M77" s="1491"/>
      <c r="N77" s="671"/>
      <c r="O77" s="671"/>
      <c r="P77" s="671"/>
      <c r="Q77" s="671"/>
      <c r="R77" s="671"/>
      <c r="S77" s="671"/>
      <c r="T77" s="671"/>
      <c r="U77" s="671"/>
      <c r="V77" s="671"/>
    </row>
    <row r="78" spans="1:22" s="672" customFormat="1">
      <c r="A78" s="1482"/>
      <c r="B78" s="1480"/>
      <c r="C78" s="669" t="s">
        <v>1106</v>
      </c>
      <c r="D78" s="667" t="s">
        <v>1020</v>
      </c>
      <c r="E78" s="668"/>
      <c r="F78" s="684">
        <v>2</v>
      </c>
      <c r="G78" s="684">
        <v>5</v>
      </c>
      <c r="H78" s="1494"/>
      <c r="I78" s="668">
        <f t="shared" si="20"/>
        <v>7</v>
      </c>
      <c r="J78" s="669">
        <f t="shared" si="19"/>
        <v>0</v>
      </c>
      <c r="K78" s="669"/>
      <c r="L78" s="669"/>
      <c r="M78" s="1491"/>
      <c r="N78" s="671"/>
      <c r="O78" s="671"/>
      <c r="P78" s="671"/>
      <c r="Q78" s="671"/>
      <c r="R78" s="671"/>
      <c r="S78" s="671"/>
      <c r="T78" s="671"/>
      <c r="U78" s="671"/>
      <c r="V78" s="671"/>
    </row>
    <row r="79" spans="1:22" s="672" customFormat="1">
      <c r="A79" s="1482"/>
      <c r="B79" s="1480"/>
      <c r="C79" s="669" t="s">
        <v>1107</v>
      </c>
      <c r="D79" s="667" t="s">
        <v>1020</v>
      </c>
      <c r="E79" s="668"/>
      <c r="F79" s="684">
        <v>2</v>
      </c>
      <c r="G79" s="684">
        <v>5</v>
      </c>
      <c r="H79" s="1494"/>
      <c r="I79" s="668">
        <f t="shared" si="20"/>
        <v>7</v>
      </c>
      <c r="J79" s="669">
        <f t="shared" si="19"/>
        <v>0</v>
      </c>
      <c r="K79" s="669"/>
      <c r="L79" s="669"/>
      <c r="M79" s="1491"/>
      <c r="N79" s="671"/>
      <c r="O79" s="671"/>
      <c r="P79" s="671"/>
      <c r="Q79" s="671"/>
      <c r="R79" s="671"/>
      <c r="S79" s="671"/>
      <c r="T79" s="671"/>
      <c r="U79" s="671"/>
      <c r="V79" s="671"/>
    </row>
    <row r="80" spans="1:22" s="672" customFormat="1">
      <c r="A80" s="1482"/>
      <c r="B80" s="1480"/>
      <c r="C80" s="669" t="s">
        <v>1108</v>
      </c>
      <c r="D80" s="667" t="s">
        <v>1020</v>
      </c>
      <c r="E80" s="668"/>
      <c r="F80" s="684">
        <v>5</v>
      </c>
      <c r="G80" s="684">
        <v>5</v>
      </c>
      <c r="H80" s="1494"/>
      <c r="I80" s="668">
        <f t="shared" si="20"/>
        <v>10</v>
      </c>
      <c r="J80" s="669">
        <f t="shared" si="19"/>
        <v>0</v>
      </c>
      <c r="K80" s="669"/>
      <c r="L80" s="669"/>
      <c r="M80" s="1491"/>
      <c r="N80" s="671"/>
      <c r="O80" s="671"/>
      <c r="P80" s="671"/>
      <c r="Q80" s="671"/>
      <c r="R80" s="671"/>
      <c r="S80" s="671"/>
      <c r="T80" s="671"/>
      <c r="U80" s="671"/>
      <c r="V80" s="671"/>
    </row>
    <row r="81" spans="1:22" s="672" customFormat="1">
      <c r="A81" s="1482"/>
      <c r="B81" s="1480"/>
      <c r="C81" s="669" t="s">
        <v>101</v>
      </c>
      <c r="D81" s="667" t="s">
        <v>1020</v>
      </c>
      <c r="E81" s="668"/>
      <c r="F81" s="684">
        <v>2</v>
      </c>
      <c r="G81" s="684">
        <v>12</v>
      </c>
      <c r="H81" s="1495"/>
      <c r="I81" s="668">
        <f t="shared" si="20"/>
        <v>14</v>
      </c>
      <c r="J81" s="669">
        <f t="shared" si="19"/>
        <v>0</v>
      </c>
      <c r="K81" s="669"/>
      <c r="L81" s="669"/>
      <c r="M81" s="1491"/>
      <c r="N81" s="671"/>
      <c r="O81" s="671"/>
      <c r="P81" s="671"/>
      <c r="Q81" s="671"/>
      <c r="R81" s="671"/>
      <c r="S81" s="671"/>
      <c r="T81" s="671"/>
      <c r="U81" s="671"/>
      <c r="V81" s="671"/>
    </row>
    <row r="82" spans="1:22" s="672" customFormat="1">
      <c r="A82" s="1482"/>
      <c r="B82" s="1480"/>
      <c r="C82" s="669" t="s">
        <v>1109</v>
      </c>
      <c r="D82" s="667" t="s">
        <v>1020</v>
      </c>
      <c r="E82" s="668">
        <v>1</v>
      </c>
      <c r="F82" s="690">
        <v>5</v>
      </c>
      <c r="G82" s="690">
        <v>15</v>
      </c>
      <c r="H82" s="1493">
        <v>8</v>
      </c>
      <c r="I82" s="668">
        <f t="shared" si="20"/>
        <v>29</v>
      </c>
      <c r="J82" s="669">
        <f t="shared" si="19"/>
        <v>0</v>
      </c>
      <c r="K82" s="669"/>
      <c r="L82" s="669"/>
      <c r="M82" s="1491"/>
      <c r="N82" s="671"/>
      <c r="O82" s="671"/>
      <c r="P82" s="671"/>
      <c r="Q82" s="671"/>
      <c r="R82" s="671"/>
      <c r="S82" s="671"/>
      <c r="T82" s="671"/>
      <c r="U82" s="671"/>
      <c r="V82" s="671"/>
    </row>
    <row r="83" spans="1:22" s="672" customFormat="1">
      <c r="A83" s="1482"/>
      <c r="B83" s="1480"/>
      <c r="C83" s="669" t="s">
        <v>1110</v>
      </c>
      <c r="D83" s="667" t="s">
        <v>1020</v>
      </c>
      <c r="E83" s="690"/>
      <c r="F83" s="690">
        <v>5</v>
      </c>
      <c r="G83" s="690">
        <v>10</v>
      </c>
      <c r="H83" s="1494"/>
      <c r="I83" s="668">
        <f t="shared" si="20"/>
        <v>15</v>
      </c>
      <c r="J83" s="669">
        <f t="shared" si="19"/>
        <v>0</v>
      </c>
      <c r="K83" s="669"/>
      <c r="L83" s="669"/>
      <c r="M83" s="1491"/>
      <c r="N83" s="671"/>
      <c r="O83" s="671"/>
      <c r="P83" s="671"/>
      <c r="Q83" s="671"/>
      <c r="R83" s="671"/>
      <c r="S83" s="671"/>
      <c r="T83" s="671"/>
      <c r="U83" s="671"/>
      <c r="V83" s="671"/>
    </row>
    <row r="84" spans="1:22" s="672" customFormat="1">
      <c r="A84" s="1482"/>
      <c r="B84" s="1480"/>
      <c r="C84" s="669" t="s">
        <v>1111</v>
      </c>
      <c r="D84" s="667" t="s">
        <v>1020</v>
      </c>
      <c r="E84" s="690"/>
      <c r="F84" s="690">
        <v>5</v>
      </c>
      <c r="G84" s="690">
        <v>10</v>
      </c>
      <c r="H84" s="1495"/>
      <c r="I84" s="668">
        <f t="shared" si="20"/>
        <v>15</v>
      </c>
      <c r="J84" s="669">
        <f t="shared" si="19"/>
        <v>0</v>
      </c>
      <c r="K84" s="669"/>
      <c r="L84" s="669"/>
      <c r="M84" s="1491"/>
      <c r="N84" s="671"/>
      <c r="O84" s="671"/>
      <c r="P84" s="671"/>
      <c r="Q84" s="671"/>
      <c r="R84" s="671"/>
      <c r="S84" s="671"/>
      <c r="T84" s="671"/>
      <c r="U84" s="671"/>
      <c r="V84" s="671"/>
    </row>
    <row r="85" spans="1:22" s="672" customFormat="1">
      <c r="A85" s="1482"/>
      <c r="B85" s="1480"/>
      <c r="C85" s="669" t="s">
        <v>1112</v>
      </c>
      <c r="D85" s="667" t="s">
        <v>1020</v>
      </c>
      <c r="E85" s="668"/>
      <c r="F85" s="690">
        <v>2</v>
      </c>
      <c r="G85" s="690">
        <v>5</v>
      </c>
      <c r="H85" s="684"/>
      <c r="I85" s="668">
        <f t="shared" si="20"/>
        <v>7</v>
      </c>
      <c r="J85" s="669">
        <f t="shared" si="19"/>
        <v>0</v>
      </c>
      <c r="K85" s="669"/>
      <c r="L85" s="669"/>
      <c r="M85" s="1491"/>
      <c r="N85" s="671"/>
      <c r="O85" s="671"/>
      <c r="P85" s="671"/>
      <c r="Q85" s="671"/>
      <c r="R85" s="671"/>
      <c r="S85" s="671"/>
      <c r="T85" s="671"/>
      <c r="U85" s="671"/>
      <c r="V85" s="671"/>
    </row>
    <row r="86" spans="1:22" s="672" customFormat="1">
      <c r="A86" s="1482"/>
      <c r="B86" s="1480"/>
      <c r="C86" s="669" t="s">
        <v>1113</v>
      </c>
      <c r="D86" s="667" t="s">
        <v>1020</v>
      </c>
      <c r="E86" s="668">
        <v>1</v>
      </c>
      <c r="F86" s="684">
        <v>5</v>
      </c>
      <c r="G86" s="684">
        <v>10</v>
      </c>
      <c r="H86" s="684"/>
      <c r="I86" s="668">
        <f t="shared" si="20"/>
        <v>16</v>
      </c>
      <c r="J86" s="669">
        <f t="shared" si="19"/>
        <v>0</v>
      </c>
      <c r="K86" s="669"/>
      <c r="L86" s="669"/>
      <c r="M86" s="1491"/>
      <c r="N86" s="671"/>
      <c r="O86" s="671"/>
      <c r="P86" s="671"/>
      <c r="Q86" s="671"/>
      <c r="R86" s="671"/>
      <c r="S86" s="671"/>
      <c r="T86" s="671"/>
      <c r="U86" s="671"/>
      <c r="V86" s="671"/>
    </row>
    <row r="87" spans="1:22">
      <c r="A87" s="1482"/>
      <c r="B87" s="1480"/>
      <c r="C87" s="683" t="s">
        <v>1051</v>
      </c>
      <c r="D87" s="677">
        <f>COUNTIF(D75:D86,"Y")</f>
        <v>0</v>
      </c>
      <c r="E87" s="678">
        <f t="shared" ref="E87:H87" si="21">SUMIF($D$75:$D$86,"=Y",E75:E86)</f>
        <v>0</v>
      </c>
      <c r="F87" s="678">
        <f t="shared" si="21"/>
        <v>0</v>
      </c>
      <c r="G87" s="678">
        <f t="shared" si="21"/>
        <v>0</v>
      </c>
      <c r="H87" s="678">
        <f t="shared" si="21"/>
        <v>0</v>
      </c>
      <c r="I87" s="678">
        <f t="shared" ref="I87:I102" si="22">SUM(E87:H87)</f>
        <v>0</v>
      </c>
      <c r="J87" s="677">
        <f>SUM(J75:J86)</f>
        <v>0</v>
      </c>
      <c r="K87" s="677">
        <f t="shared" ref="K87:L87" si="23">SUM(K75:K86)</f>
        <v>0</v>
      </c>
      <c r="L87" s="677">
        <f t="shared" si="23"/>
        <v>0</v>
      </c>
      <c r="M87" s="1491"/>
      <c r="N87" s="642"/>
      <c r="O87" s="642"/>
      <c r="P87" s="642"/>
      <c r="Q87" s="642"/>
      <c r="R87" s="642"/>
      <c r="S87" s="642"/>
      <c r="T87" s="642"/>
      <c r="U87" s="642"/>
      <c r="V87" s="642"/>
    </row>
    <row r="88" spans="1:22" s="672" customFormat="1">
      <c r="A88" s="1482"/>
      <c r="B88" s="1480" t="s">
        <v>1114</v>
      </c>
      <c r="C88" s="669" t="s">
        <v>1114</v>
      </c>
      <c r="D88" s="667" t="s">
        <v>1020</v>
      </c>
      <c r="E88" s="684">
        <v>2</v>
      </c>
      <c r="F88" s="684">
        <v>8</v>
      </c>
      <c r="G88" s="684">
        <v>20</v>
      </c>
      <c r="H88" s="684">
        <v>10</v>
      </c>
      <c r="I88" s="668">
        <f t="shared" si="22"/>
        <v>40</v>
      </c>
      <c r="J88" s="669">
        <f>IF($D88="Y",$E88*$I$3+$F88*$I$5+$G88*$I$6+$H88*$I$7,0)</f>
        <v>0</v>
      </c>
      <c r="K88" s="669"/>
      <c r="L88" s="669"/>
      <c r="M88" s="670" t="s">
        <v>1038</v>
      </c>
      <c r="N88" s="671"/>
      <c r="O88" s="671"/>
      <c r="P88" s="671"/>
      <c r="Q88" s="671"/>
      <c r="R88" s="671"/>
      <c r="S88" s="671"/>
      <c r="T88" s="671"/>
      <c r="U88" s="671"/>
      <c r="V88" s="671"/>
    </row>
    <row r="89" spans="1:22">
      <c r="A89" s="1482"/>
      <c r="B89" s="1480"/>
      <c r="C89" s="683" t="s">
        <v>1051</v>
      </c>
      <c r="D89" s="677">
        <f>COUNTIF(D88,"Y")</f>
        <v>0</v>
      </c>
      <c r="E89" s="678">
        <f>SUMIF($D$88,"=Y",E88)</f>
        <v>0</v>
      </c>
      <c r="F89" s="678">
        <f>SUMIF($D$88,"=Y",F88)</f>
        <v>0</v>
      </c>
      <c r="G89" s="678">
        <f>SUMIF($D$88,"=Y",G88)</f>
        <v>0</v>
      </c>
      <c r="H89" s="678">
        <f>SUMIF($D$88,"=Y",H88)</f>
        <v>0</v>
      </c>
      <c r="I89" s="678">
        <f t="shared" si="22"/>
        <v>0</v>
      </c>
      <c r="J89" s="677">
        <f>SUM(J88)</f>
        <v>0</v>
      </c>
      <c r="K89" s="677">
        <f t="shared" ref="K89:L89" si="24">SUM(K88)</f>
        <v>0</v>
      </c>
      <c r="L89" s="677">
        <f t="shared" si="24"/>
        <v>0</v>
      </c>
      <c r="M89" s="691"/>
      <c r="N89" s="642"/>
      <c r="O89" s="642"/>
      <c r="P89" s="642"/>
      <c r="Q89" s="642"/>
      <c r="R89" s="642"/>
      <c r="S89" s="642"/>
      <c r="T89" s="642"/>
      <c r="U89" s="642"/>
      <c r="V89" s="642"/>
    </row>
    <row r="90" spans="1:22" s="672" customFormat="1">
      <c r="A90" s="1482"/>
      <c r="B90" s="1480" t="s">
        <v>1115</v>
      </c>
      <c r="C90" s="669" t="s">
        <v>1116</v>
      </c>
      <c r="D90" s="667" t="s">
        <v>1020</v>
      </c>
      <c r="E90" s="668">
        <v>2</v>
      </c>
      <c r="F90" s="684">
        <v>10</v>
      </c>
      <c r="G90" s="684">
        <v>25</v>
      </c>
      <c r="H90" s="668"/>
      <c r="I90" s="668">
        <f t="shared" si="22"/>
        <v>37</v>
      </c>
      <c r="J90" s="669">
        <f>IF($D90="Y",$E90*$I$3+$F90*$I$5+$G90*$I$6+$H90*$I$7,0)</f>
        <v>0</v>
      </c>
      <c r="K90" s="669"/>
      <c r="L90" s="669"/>
      <c r="M90" s="686" t="s">
        <v>1038</v>
      </c>
      <c r="N90" s="671"/>
      <c r="O90" s="671"/>
      <c r="P90" s="671"/>
      <c r="Q90" s="671"/>
      <c r="R90" s="671"/>
      <c r="S90" s="671"/>
      <c r="T90" s="671"/>
      <c r="U90" s="671"/>
      <c r="V90" s="671"/>
    </row>
    <row r="91" spans="1:22" s="672" customFormat="1" ht="36">
      <c r="A91" s="1482"/>
      <c r="B91" s="1480"/>
      <c r="C91" s="669" t="s">
        <v>1117</v>
      </c>
      <c r="D91" s="667" t="s">
        <v>1020</v>
      </c>
      <c r="E91" s="668">
        <v>2</v>
      </c>
      <c r="F91" s="684">
        <v>5</v>
      </c>
      <c r="G91" s="684">
        <v>10</v>
      </c>
      <c r="H91" s="668">
        <v>2</v>
      </c>
      <c r="I91" s="668">
        <f t="shared" si="22"/>
        <v>19</v>
      </c>
      <c r="J91" s="669">
        <f>IF($D91="Y",$E91*$I$3+$F91*$I$5+$G91*$I$6+$H91*$I$7,0)</f>
        <v>0</v>
      </c>
      <c r="K91" s="669"/>
      <c r="L91" s="669"/>
      <c r="M91" s="686" t="s">
        <v>1118</v>
      </c>
      <c r="N91" s="671"/>
      <c r="O91" s="671"/>
      <c r="P91" s="671"/>
      <c r="Q91" s="671"/>
      <c r="R91" s="671"/>
      <c r="S91" s="671"/>
      <c r="T91" s="671"/>
      <c r="U91" s="671"/>
      <c r="V91" s="671"/>
    </row>
    <row r="92" spans="1:22" s="672" customFormat="1">
      <c r="A92" s="1482"/>
      <c r="B92" s="1480"/>
      <c r="C92" s="669" t="s">
        <v>366</v>
      </c>
      <c r="D92" s="667" t="s">
        <v>1020</v>
      </c>
      <c r="E92" s="668">
        <v>2</v>
      </c>
      <c r="F92" s="684">
        <v>5</v>
      </c>
      <c r="G92" s="684">
        <v>15</v>
      </c>
      <c r="H92" s="668"/>
      <c r="I92" s="668">
        <f t="shared" si="22"/>
        <v>22</v>
      </c>
      <c r="J92" s="669">
        <f>IF($D92="Y",$E92*$I$3+$F92*$I$5+$G92*$I$6+$H92*$I$7,0)</f>
        <v>0</v>
      </c>
      <c r="K92" s="669"/>
      <c r="L92" s="669"/>
      <c r="M92" s="1476" t="s">
        <v>1119</v>
      </c>
      <c r="N92" s="671"/>
      <c r="O92" s="671"/>
      <c r="P92" s="671"/>
      <c r="Q92" s="671"/>
      <c r="R92" s="671"/>
      <c r="S92" s="671"/>
      <c r="T92" s="671"/>
      <c r="U92" s="671"/>
      <c r="V92" s="671"/>
    </row>
    <row r="93" spans="1:22" s="672" customFormat="1">
      <c r="A93" s="1482"/>
      <c r="B93" s="1480"/>
      <c r="C93" s="669" t="s">
        <v>1120</v>
      </c>
      <c r="D93" s="667" t="s">
        <v>1020</v>
      </c>
      <c r="E93" s="668">
        <v>2</v>
      </c>
      <c r="F93" s="684">
        <v>2</v>
      </c>
      <c r="G93" s="684">
        <v>8</v>
      </c>
      <c r="H93" s="668"/>
      <c r="I93" s="668">
        <f t="shared" si="22"/>
        <v>12</v>
      </c>
      <c r="J93" s="669">
        <f>IF($D93="Y",$E93*$I$3+$F93*$I$5+$G93*$I$6+$H93*$I$7,0)</f>
        <v>0</v>
      </c>
      <c r="K93" s="669"/>
      <c r="L93" s="669"/>
      <c r="M93" s="1476"/>
      <c r="N93" s="671"/>
      <c r="O93" s="671"/>
      <c r="P93" s="671"/>
      <c r="Q93" s="671"/>
      <c r="R93" s="671"/>
      <c r="S93" s="671"/>
      <c r="T93" s="671"/>
      <c r="U93" s="671"/>
      <c r="V93" s="671"/>
    </row>
    <row r="94" spans="1:22" s="672" customFormat="1" ht="48">
      <c r="A94" s="1482"/>
      <c r="B94" s="1480"/>
      <c r="C94" s="669" t="s">
        <v>1121</v>
      </c>
      <c r="D94" s="667" t="s">
        <v>1020</v>
      </c>
      <c r="E94" s="668">
        <v>2</v>
      </c>
      <c r="F94" s="684">
        <v>5</v>
      </c>
      <c r="G94" s="684">
        <v>15</v>
      </c>
      <c r="H94" s="668">
        <v>2</v>
      </c>
      <c r="I94" s="668">
        <f t="shared" si="22"/>
        <v>24</v>
      </c>
      <c r="J94" s="669">
        <f>IF($D94="Y",$E94*$I$3+$F94*$I$5+$G94*$I$6+$H94*$I$7,0)</f>
        <v>0</v>
      </c>
      <c r="K94" s="669"/>
      <c r="L94" s="669"/>
      <c r="M94" s="686" t="s">
        <v>1122</v>
      </c>
      <c r="N94" s="671"/>
      <c r="O94" s="671"/>
      <c r="P94" s="671"/>
      <c r="Q94" s="671"/>
      <c r="R94" s="671"/>
      <c r="S94" s="671"/>
      <c r="T94" s="671"/>
      <c r="U94" s="671"/>
      <c r="V94" s="671"/>
    </row>
    <row r="95" spans="1:22">
      <c r="A95" s="1482"/>
      <c r="B95" s="1480"/>
      <c r="C95" s="683" t="s">
        <v>1051</v>
      </c>
      <c r="D95" s="677">
        <f>COUNTIF(D90:D94,"Y")</f>
        <v>0</v>
      </c>
      <c r="E95" s="678">
        <f>SUMIF($D$90:$D$94,"=Y",E90:E94)</f>
        <v>0</v>
      </c>
      <c r="F95" s="678">
        <f t="shared" ref="F95:L95" si="25">SUMIF($D$90:$D$94,"=Y",F90:F94)</f>
        <v>0</v>
      </c>
      <c r="G95" s="678">
        <f t="shared" si="25"/>
        <v>0</v>
      </c>
      <c r="H95" s="678">
        <f t="shared" si="25"/>
        <v>0</v>
      </c>
      <c r="I95" s="678">
        <f t="shared" si="22"/>
        <v>0</v>
      </c>
      <c r="J95" s="677">
        <f t="shared" si="25"/>
        <v>0</v>
      </c>
      <c r="K95" s="677">
        <f t="shared" si="25"/>
        <v>0</v>
      </c>
      <c r="L95" s="677">
        <f t="shared" si="25"/>
        <v>0</v>
      </c>
      <c r="M95" s="687"/>
      <c r="N95" s="642"/>
      <c r="O95" s="642"/>
      <c r="P95" s="642"/>
      <c r="Q95" s="642"/>
      <c r="R95" s="642"/>
      <c r="S95" s="642"/>
      <c r="T95" s="642"/>
      <c r="U95" s="642"/>
      <c r="V95" s="642"/>
    </row>
    <row r="96" spans="1:22" s="672" customFormat="1">
      <c r="A96" s="1482"/>
      <c r="B96" s="1480" t="s">
        <v>1123</v>
      </c>
      <c r="C96" s="669" t="s">
        <v>1124</v>
      </c>
      <c r="D96" s="667" t="s">
        <v>1020</v>
      </c>
      <c r="E96" s="688">
        <v>3</v>
      </c>
      <c r="F96" s="688">
        <v>5</v>
      </c>
      <c r="G96" s="688">
        <v>5</v>
      </c>
      <c r="H96" s="688">
        <v>5</v>
      </c>
      <c r="I96" s="668">
        <f t="shared" si="22"/>
        <v>18</v>
      </c>
      <c r="J96" s="669">
        <f t="shared" ref="J96:J102" si="26">IF($D96="Y",$E96*$I$3+$F96*$I$5+$G96*$I$6+$H96*$I$7,0)</f>
        <v>0</v>
      </c>
      <c r="K96" s="669"/>
      <c r="L96" s="669"/>
      <c r="M96" s="1491" t="s">
        <v>1125</v>
      </c>
      <c r="N96" s="671"/>
      <c r="O96" s="671"/>
      <c r="P96" s="671"/>
      <c r="Q96" s="671"/>
      <c r="R96" s="671"/>
      <c r="S96" s="671"/>
      <c r="T96" s="671"/>
      <c r="U96" s="671"/>
      <c r="V96" s="671"/>
    </row>
    <row r="97" spans="1:22" s="672" customFormat="1">
      <c r="A97" s="1482"/>
      <c r="B97" s="1480"/>
      <c r="C97" s="669" t="s">
        <v>1126</v>
      </c>
      <c r="D97" s="667" t="s">
        <v>1020</v>
      </c>
      <c r="E97" s="692">
        <v>2</v>
      </c>
      <c r="F97" s="692">
        <v>10</v>
      </c>
      <c r="G97" s="692">
        <v>10</v>
      </c>
      <c r="H97" s="692"/>
      <c r="I97" s="668">
        <f t="shared" si="22"/>
        <v>22</v>
      </c>
      <c r="J97" s="669">
        <f t="shared" si="26"/>
        <v>0</v>
      </c>
      <c r="K97" s="669"/>
      <c r="L97" s="669"/>
      <c r="M97" s="1491"/>
      <c r="N97" s="671"/>
      <c r="O97" s="671"/>
      <c r="P97" s="671"/>
      <c r="Q97" s="671"/>
      <c r="R97" s="671"/>
      <c r="S97" s="671"/>
      <c r="T97" s="671"/>
      <c r="U97" s="671"/>
      <c r="V97" s="671"/>
    </row>
    <row r="98" spans="1:22" s="672" customFormat="1">
      <c r="A98" s="1482"/>
      <c r="B98" s="1480"/>
      <c r="C98" s="669" t="s">
        <v>1127</v>
      </c>
      <c r="D98" s="667" t="s">
        <v>1020</v>
      </c>
      <c r="E98" s="692">
        <v>3</v>
      </c>
      <c r="F98" s="692">
        <v>10</v>
      </c>
      <c r="G98" s="692">
        <v>15</v>
      </c>
      <c r="H98" s="692"/>
      <c r="I98" s="668">
        <f t="shared" si="22"/>
        <v>28</v>
      </c>
      <c r="J98" s="669">
        <f t="shared" si="26"/>
        <v>0</v>
      </c>
      <c r="K98" s="669"/>
      <c r="L98" s="669"/>
      <c r="M98" s="1491"/>
      <c r="N98" s="671"/>
      <c r="O98" s="671"/>
      <c r="P98" s="671"/>
      <c r="Q98" s="671"/>
      <c r="R98" s="671"/>
      <c r="S98" s="671"/>
      <c r="T98" s="671"/>
      <c r="U98" s="671"/>
      <c r="V98" s="671"/>
    </row>
    <row r="99" spans="1:22" s="672" customFormat="1">
      <c r="A99" s="1482"/>
      <c r="B99" s="1480"/>
      <c r="C99" s="669" t="s">
        <v>1128</v>
      </c>
      <c r="D99" s="667" t="s">
        <v>1020</v>
      </c>
      <c r="E99" s="692">
        <v>5</v>
      </c>
      <c r="F99" s="692">
        <v>15</v>
      </c>
      <c r="G99" s="692">
        <v>20</v>
      </c>
      <c r="H99" s="692"/>
      <c r="I99" s="668">
        <f t="shared" si="22"/>
        <v>40</v>
      </c>
      <c r="J99" s="669">
        <f t="shared" si="26"/>
        <v>0</v>
      </c>
      <c r="K99" s="669"/>
      <c r="L99" s="669"/>
      <c r="M99" s="1491"/>
      <c r="N99" s="671"/>
      <c r="O99" s="671"/>
      <c r="P99" s="671"/>
      <c r="Q99" s="671"/>
      <c r="R99" s="671"/>
      <c r="S99" s="671"/>
      <c r="T99" s="671"/>
      <c r="U99" s="671"/>
      <c r="V99" s="671"/>
    </row>
    <row r="100" spans="1:22" s="672" customFormat="1">
      <c r="A100" s="1482"/>
      <c r="B100" s="1480"/>
      <c r="C100" s="669" t="s">
        <v>1129</v>
      </c>
      <c r="D100" s="667" t="s">
        <v>1020</v>
      </c>
      <c r="E100" s="692">
        <v>5</v>
      </c>
      <c r="F100" s="692">
        <v>15</v>
      </c>
      <c r="G100" s="692">
        <v>20</v>
      </c>
      <c r="H100" s="692"/>
      <c r="I100" s="668">
        <f t="shared" si="22"/>
        <v>40</v>
      </c>
      <c r="J100" s="669">
        <f t="shared" si="26"/>
        <v>0</v>
      </c>
      <c r="K100" s="669"/>
      <c r="L100" s="669"/>
      <c r="M100" s="1491"/>
      <c r="N100" s="671"/>
      <c r="O100" s="671"/>
      <c r="P100" s="671"/>
      <c r="Q100" s="671"/>
      <c r="R100" s="671"/>
      <c r="S100" s="671"/>
      <c r="T100" s="671"/>
      <c r="U100" s="671"/>
      <c r="V100" s="671"/>
    </row>
    <row r="101" spans="1:22" s="672" customFormat="1">
      <c r="A101" s="1482"/>
      <c r="B101" s="1480"/>
      <c r="C101" s="669" t="s">
        <v>1130</v>
      </c>
      <c r="D101" s="667" t="s">
        <v>1020</v>
      </c>
      <c r="E101" s="692">
        <v>5</v>
      </c>
      <c r="F101" s="692">
        <v>15</v>
      </c>
      <c r="G101" s="692">
        <v>20</v>
      </c>
      <c r="H101" s="692">
        <v>10</v>
      </c>
      <c r="I101" s="668">
        <f t="shared" si="22"/>
        <v>50</v>
      </c>
      <c r="J101" s="669">
        <f t="shared" si="26"/>
        <v>0</v>
      </c>
      <c r="K101" s="669"/>
      <c r="L101" s="669"/>
      <c r="M101" s="1491"/>
      <c r="N101" s="671"/>
      <c r="O101" s="671"/>
      <c r="P101" s="671"/>
      <c r="Q101" s="671"/>
      <c r="R101" s="671"/>
      <c r="S101" s="671"/>
      <c r="T101" s="671"/>
      <c r="U101" s="671"/>
      <c r="V101" s="671"/>
    </row>
    <row r="102" spans="1:22" s="672" customFormat="1">
      <c r="A102" s="1482"/>
      <c r="B102" s="1480"/>
      <c r="C102" s="669" t="s">
        <v>1131</v>
      </c>
      <c r="D102" s="667" t="s">
        <v>1020</v>
      </c>
      <c r="E102" s="692">
        <v>5</v>
      </c>
      <c r="F102" s="692">
        <v>15</v>
      </c>
      <c r="G102" s="692">
        <v>20</v>
      </c>
      <c r="H102" s="692">
        <v>10</v>
      </c>
      <c r="I102" s="668">
        <f t="shared" si="22"/>
        <v>50</v>
      </c>
      <c r="J102" s="669">
        <f t="shared" si="26"/>
        <v>0</v>
      </c>
      <c r="K102" s="669"/>
      <c r="L102" s="669"/>
      <c r="M102" s="1491"/>
      <c r="N102" s="671"/>
      <c r="O102" s="671"/>
      <c r="P102" s="671"/>
      <c r="Q102" s="671"/>
      <c r="R102" s="671"/>
      <c r="S102" s="671"/>
      <c r="T102" s="671"/>
      <c r="U102" s="671"/>
      <c r="V102" s="671"/>
    </row>
    <row r="103" spans="1:22">
      <c r="A103" s="1482"/>
      <c r="B103" s="1480"/>
      <c r="C103" s="683" t="s">
        <v>1051</v>
      </c>
      <c r="D103" s="677">
        <f>COUNTIF(D96:D102,"Y")</f>
        <v>0</v>
      </c>
      <c r="E103" s="678">
        <f>SUMIF($D$96:$D$102,"=Y",E96:E102)</f>
        <v>0</v>
      </c>
      <c r="F103" s="678">
        <f t="shared" ref="F103:L103" si="27">SUMIF($D$96:$D$102,"=Y",F96:F102)</f>
        <v>0</v>
      </c>
      <c r="G103" s="678">
        <f t="shared" si="27"/>
        <v>0</v>
      </c>
      <c r="H103" s="678">
        <f t="shared" si="27"/>
        <v>0</v>
      </c>
      <c r="I103" s="678">
        <f>SUM(E103:H103)</f>
        <v>0</v>
      </c>
      <c r="J103" s="677">
        <f t="shared" si="27"/>
        <v>0</v>
      </c>
      <c r="K103" s="677">
        <f t="shared" si="27"/>
        <v>0</v>
      </c>
      <c r="L103" s="677">
        <f t="shared" si="27"/>
        <v>0</v>
      </c>
      <c r="M103" s="1491"/>
      <c r="N103" s="642"/>
      <c r="O103" s="642"/>
      <c r="P103" s="642"/>
      <c r="Q103" s="642"/>
      <c r="R103" s="642"/>
      <c r="S103" s="642"/>
      <c r="T103" s="642"/>
      <c r="U103" s="642"/>
      <c r="V103" s="642"/>
    </row>
    <row r="104" spans="1:22" s="672" customFormat="1">
      <c r="A104" s="1482"/>
      <c r="B104" s="1480" t="s">
        <v>1132</v>
      </c>
      <c r="C104" s="669" t="s">
        <v>1133</v>
      </c>
      <c r="D104" s="667" t="s">
        <v>1020</v>
      </c>
      <c r="E104" s="668">
        <v>1</v>
      </c>
      <c r="F104" s="690">
        <v>3</v>
      </c>
      <c r="G104" s="690">
        <v>10</v>
      </c>
      <c r="H104" s="668">
        <v>5.5</v>
      </c>
      <c r="I104" s="668">
        <f t="shared" ref="I104:I112" si="28">SUM(E104:H104)</f>
        <v>19.5</v>
      </c>
      <c r="J104" s="669">
        <f t="shared" ref="J104:J112" si="29">IF($D104="Y",$E104*$I$3+$F104*$I$5+$G104*$I$6+$H104*$I$7,0)</f>
        <v>0</v>
      </c>
      <c r="K104" s="669"/>
      <c r="L104" s="669"/>
      <c r="M104" s="1491" t="s">
        <v>1134</v>
      </c>
      <c r="N104" s="671"/>
      <c r="O104" s="671"/>
      <c r="P104" s="671"/>
      <c r="Q104" s="671"/>
      <c r="R104" s="671"/>
      <c r="S104" s="671"/>
      <c r="T104" s="671"/>
      <c r="U104" s="671"/>
      <c r="V104" s="671"/>
    </row>
    <row r="105" spans="1:22" s="672" customFormat="1">
      <c r="A105" s="1482"/>
      <c r="B105" s="1492"/>
      <c r="C105" s="669" t="s">
        <v>1135</v>
      </c>
      <c r="D105" s="667" t="s">
        <v>1020</v>
      </c>
      <c r="E105" s="668">
        <v>1</v>
      </c>
      <c r="F105" s="690">
        <v>5</v>
      </c>
      <c r="G105" s="690">
        <v>15</v>
      </c>
      <c r="H105" s="668"/>
      <c r="I105" s="668">
        <f t="shared" si="28"/>
        <v>21</v>
      </c>
      <c r="J105" s="669">
        <f t="shared" si="29"/>
        <v>0</v>
      </c>
      <c r="K105" s="669"/>
      <c r="L105" s="669"/>
      <c r="M105" s="1491"/>
      <c r="N105" s="671"/>
      <c r="O105" s="671"/>
      <c r="P105" s="671"/>
      <c r="Q105" s="671"/>
      <c r="R105" s="671"/>
      <c r="S105" s="671"/>
      <c r="T105" s="671"/>
      <c r="U105" s="671"/>
      <c r="V105" s="671"/>
    </row>
    <row r="106" spans="1:22" s="672" customFormat="1">
      <c r="A106" s="1482"/>
      <c r="B106" s="1492"/>
      <c r="C106" s="669" t="s">
        <v>1136</v>
      </c>
      <c r="D106" s="667" t="s">
        <v>1020</v>
      </c>
      <c r="E106" s="668">
        <v>1</v>
      </c>
      <c r="F106" s="690">
        <v>3</v>
      </c>
      <c r="G106" s="690">
        <v>10</v>
      </c>
      <c r="H106" s="668"/>
      <c r="I106" s="668">
        <f t="shared" si="28"/>
        <v>14</v>
      </c>
      <c r="J106" s="669">
        <f t="shared" si="29"/>
        <v>0</v>
      </c>
      <c r="K106" s="669"/>
      <c r="L106" s="669"/>
      <c r="M106" s="1491"/>
      <c r="N106" s="671"/>
      <c r="O106" s="671"/>
      <c r="P106" s="671"/>
      <c r="Q106" s="671"/>
      <c r="R106" s="671"/>
      <c r="S106" s="671"/>
      <c r="T106" s="671"/>
      <c r="U106" s="671"/>
      <c r="V106" s="671"/>
    </row>
    <row r="107" spans="1:22" s="672" customFormat="1">
      <c r="A107" s="1482"/>
      <c r="B107" s="1492"/>
      <c r="C107" s="669" t="s">
        <v>1137</v>
      </c>
      <c r="D107" s="667" t="s">
        <v>1020</v>
      </c>
      <c r="E107" s="668">
        <v>2</v>
      </c>
      <c r="F107" s="684">
        <v>5</v>
      </c>
      <c r="G107" s="684">
        <v>22</v>
      </c>
      <c r="H107" s="668"/>
      <c r="I107" s="668">
        <f t="shared" si="28"/>
        <v>29</v>
      </c>
      <c r="J107" s="669">
        <f t="shared" si="29"/>
        <v>0</v>
      </c>
      <c r="K107" s="669"/>
      <c r="L107" s="669"/>
      <c r="M107" s="1491"/>
      <c r="N107" s="671"/>
      <c r="O107" s="671"/>
      <c r="P107" s="671"/>
      <c r="Q107" s="671"/>
      <c r="R107" s="671"/>
      <c r="S107" s="671"/>
      <c r="T107" s="671"/>
      <c r="U107" s="671"/>
      <c r="V107" s="671"/>
    </row>
    <row r="108" spans="1:22" s="672" customFormat="1">
      <c r="A108" s="1482"/>
      <c r="B108" s="1492"/>
      <c r="C108" s="669" t="s">
        <v>1138</v>
      </c>
      <c r="D108" s="667" t="s">
        <v>1020</v>
      </c>
      <c r="E108" s="668">
        <v>2</v>
      </c>
      <c r="F108" s="684">
        <v>3</v>
      </c>
      <c r="G108" s="684">
        <v>15</v>
      </c>
      <c r="H108" s="668"/>
      <c r="I108" s="668">
        <f t="shared" si="28"/>
        <v>20</v>
      </c>
      <c r="J108" s="669">
        <f t="shared" si="29"/>
        <v>0</v>
      </c>
      <c r="K108" s="669"/>
      <c r="L108" s="669"/>
      <c r="M108" s="1491"/>
      <c r="N108" s="671"/>
      <c r="O108" s="671"/>
      <c r="P108" s="671"/>
      <c r="Q108" s="671"/>
      <c r="R108" s="671"/>
      <c r="S108" s="671"/>
      <c r="T108" s="671"/>
      <c r="U108" s="671"/>
      <c r="V108" s="671"/>
    </row>
    <row r="109" spans="1:22" s="672" customFormat="1">
      <c r="A109" s="1482"/>
      <c r="B109" s="1492"/>
      <c r="C109" s="669" t="s">
        <v>1139</v>
      </c>
      <c r="D109" s="667" t="s">
        <v>1020</v>
      </c>
      <c r="E109" s="668">
        <v>2</v>
      </c>
      <c r="F109" s="684">
        <v>3</v>
      </c>
      <c r="G109" s="684">
        <v>15</v>
      </c>
      <c r="H109" s="668"/>
      <c r="I109" s="668">
        <f t="shared" si="28"/>
        <v>20</v>
      </c>
      <c r="J109" s="669">
        <f t="shared" si="29"/>
        <v>0</v>
      </c>
      <c r="K109" s="669"/>
      <c r="L109" s="669"/>
      <c r="M109" s="1491"/>
      <c r="N109" s="671"/>
      <c r="O109" s="671"/>
      <c r="P109" s="671"/>
      <c r="Q109" s="671"/>
      <c r="R109" s="671"/>
      <c r="S109" s="671"/>
      <c r="T109" s="671"/>
      <c r="U109" s="671"/>
      <c r="V109" s="671"/>
    </row>
    <row r="110" spans="1:22" s="672" customFormat="1">
      <c r="A110" s="1482"/>
      <c r="B110" s="1492"/>
      <c r="C110" s="669" t="s">
        <v>1140</v>
      </c>
      <c r="D110" s="667" t="s">
        <v>1020</v>
      </c>
      <c r="E110" s="668"/>
      <c r="F110" s="684">
        <v>1</v>
      </c>
      <c r="G110" s="684">
        <v>15</v>
      </c>
      <c r="H110" s="668"/>
      <c r="I110" s="668">
        <f t="shared" si="28"/>
        <v>16</v>
      </c>
      <c r="J110" s="669">
        <f t="shared" si="29"/>
        <v>0</v>
      </c>
      <c r="K110" s="669"/>
      <c r="L110" s="669"/>
      <c r="M110" s="1491"/>
      <c r="N110" s="671"/>
      <c r="O110" s="671"/>
      <c r="P110" s="671"/>
      <c r="Q110" s="671"/>
      <c r="R110" s="671"/>
      <c r="S110" s="671"/>
      <c r="T110" s="671"/>
      <c r="U110" s="671"/>
      <c r="V110" s="671"/>
    </row>
    <row r="111" spans="1:22" s="672" customFormat="1">
      <c r="A111" s="1482"/>
      <c r="B111" s="1492"/>
      <c r="C111" s="669" t="s">
        <v>1141</v>
      </c>
      <c r="D111" s="667" t="s">
        <v>1020</v>
      </c>
      <c r="E111" s="668"/>
      <c r="F111" s="684">
        <v>1</v>
      </c>
      <c r="G111" s="684">
        <v>10</v>
      </c>
      <c r="H111" s="668"/>
      <c r="I111" s="668">
        <f t="shared" si="28"/>
        <v>11</v>
      </c>
      <c r="J111" s="669">
        <f t="shared" si="29"/>
        <v>0</v>
      </c>
      <c r="K111" s="669"/>
      <c r="L111" s="669"/>
      <c r="M111" s="1491"/>
      <c r="N111" s="671"/>
      <c r="O111" s="671"/>
      <c r="P111" s="671"/>
      <c r="Q111" s="671"/>
      <c r="R111" s="671"/>
      <c r="S111" s="671"/>
      <c r="T111" s="671"/>
      <c r="U111" s="671"/>
      <c r="V111" s="671"/>
    </row>
    <row r="112" spans="1:22" s="672" customFormat="1">
      <c r="A112" s="1482"/>
      <c r="B112" s="1492"/>
      <c r="C112" s="669" t="s">
        <v>1142</v>
      </c>
      <c r="D112" s="667" t="s">
        <v>1020</v>
      </c>
      <c r="E112" s="668"/>
      <c r="F112" s="684">
        <v>1</v>
      </c>
      <c r="G112" s="684">
        <v>10</v>
      </c>
      <c r="H112" s="668"/>
      <c r="I112" s="668">
        <f t="shared" si="28"/>
        <v>11</v>
      </c>
      <c r="J112" s="669">
        <f t="shared" si="29"/>
        <v>0</v>
      </c>
      <c r="K112" s="669"/>
      <c r="L112" s="669"/>
      <c r="M112" s="1491"/>
      <c r="N112" s="671"/>
      <c r="O112" s="671"/>
      <c r="P112" s="671"/>
      <c r="Q112" s="671"/>
      <c r="R112" s="671"/>
      <c r="S112" s="671"/>
      <c r="T112" s="671"/>
      <c r="U112" s="671"/>
      <c r="V112" s="671"/>
    </row>
    <row r="113" spans="1:22">
      <c r="A113" s="1482"/>
      <c r="B113" s="1492"/>
      <c r="C113" s="683" t="s">
        <v>1051</v>
      </c>
      <c r="D113" s="677">
        <f>COUNTIF(D104:D112,"Y")</f>
        <v>0</v>
      </c>
      <c r="E113" s="678">
        <f t="shared" ref="E113:H113" si="30">SUMIF($D$104:$D$112,"=Y",E104:E112)</f>
        <v>0</v>
      </c>
      <c r="F113" s="678">
        <f t="shared" si="30"/>
        <v>0</v>
      </c>
      <c r="G113" s="678">
        <f t="shared" si="30"/>
        <v>0</v>
      </c>
      <c r="H113" s="678">
        <f t="shared" si="30"/>
        <v>0</v>
      </c>
      <c r="I113" s="678">
        <f t="shared" ref="I113:I121" si="31">SUM(E113:H113)</f>
        <v>0</v>
      </c>
      <c r="J113" s="677">
        <f>SUM(J104:J112)</f>
        <v>0</v>
      </c>
      <c r="K113" s="677">
        <f t="shared" ref="K113:L113" si="32">SUM(K104:K112)</f>
        <v>0</v>
      </c>
      <c r="L113" s="677">
        <f t="shared" si="32"/>
        <v>0</v>
      </c>
      <c r="M113" s="1491"/>
      <c r="N113" s="642"/>
      <c r="O113" s="642"/>
      <c r="P113" s="642"/>
      <c r="Q113" s="642"/>
      <c r="R113" s="642"/>
      <c r="S113" s="642"/>
      <c r="T113" s="642"/>
      <c r="U113" s="642"/>
      <c r="V113" s="642"/>
    </row>
    <row r="114" spans="1:22" s="672" customFormat="1">
      <c r="A114" s="1482"/>
      <c r="B114" s="1479" t="s">
        <v>1143</v>
      </c>
      <c r="C114" s="669" t="s">
        <v>1144</v>
      </c>
      <c r="D114" s="667" t="s">
        <v>1020</v>
      </c>
      <c r="E114" s="668">
        <v>3</v>
      </c>
      <c r="F114" s="684">
        <v>5</v>
      </c>
      <c r="G114" s="684">
        <v>15</v>
      </c>
      <c r="H114" s="668">
        <v>1</v>
      </c>
      <c r="I114" s="668">
        <f t="shared" si="31"/>
        <v>24</v>
      </c>
      <c r="J114" s="669">
        <f>IF($D114="Y",$E114*$I$3+$F114*$I$5+$G114*$I$6+$H114*$I$7,0)</f>
        <v>0</v>
      </c>
      <c r="K114" s="669"/>
      <c r="L114" s="669"/>
      <c r="M114" s="1476" t="s">
        <v>1145</v>
      </c>
      <c r="N114" s="671"/>
      <c r="O114" s="671"/>
      <c r="P114" s="671"/>
      <c r="Q114" s="671"/>
      <c r="R114" s="671"/>
      <c r="S114" s="671"/>
      <c r="T114" s="671"/>
      <c r="U114" s="671"/>
      <c r="V114" s="671"/>
    </row>
    <row r="115" spans="1:22" s="672" customFormat="1">
      <c r="A115" s="1482"/>
      <c r="B115" s="1479"/>
      <c r="C115" s="669" t="s">
        <v>1146</v>
      </c>
      <c r="D115" s="667" t="s">
        <v>1020</v>
      </c>
      <c r="E115" s="668">
        <v>3</v>
      </c>
      <c r="F115" s="684">
        <v>5</v>
      </c>
      <c r="G115" s="684">
        <v>22</v>
      </c>
      <c r="H115" s="668">
        <v>1</v>
      </c>
      <c r="I115" s="668">
        <f t="shared" si="31"/>
        <v>31</v>
      </c>
      <c r="J115" s="669">
        <f>IF($D115="Y",$E115*$I$3+$F115*$I$5+$G115*$I$6+$H115*$I$7,0)</f>
        <v>0</v>
      </c>
      <c r="K115" s="669"/>
      <c r="L115" s="669"/>
      <c r="M115" s="1476"/>
      <c r="N115" s="671"/>
      <c r="O115" s="671"/>
      <c r="P115" s="671"/>
      <c r="Q115" s="671"/>
      <c r="R115" s="671"/>
      <c r="S115" s="671"/>
      <c r="T115" s="671"/>
      <c r="U115" s="671"/>
      <c r="V115" s="671"/>
    </row>
    <row r="116" spans="1:22">
      <c r="A116" s="1482"/>
      <c r="B116" s="1479"/>
      <c r="C116" s="683" t="s">
        <v>1051</v>
      </c>
      <c r="D116" s="677">
        <f>COUNTIF(D114:D115,"Y")</f>
        <v>0</v>
      </c>
      <c r="E116" s="678">
        <f t="shared" ref="E116:H116" si="33">SUMIF($D$114:$D$115,"=Y",E114:E115)</f>
        <v>0</v>
      </c>
      <c r="F116" s="678">
        <f t="shared" si="33"/>
        <v>0</v>
      </c>
      <c r="G116" s="678">
        <f t="shared" si="33"/>
        <v>0</v>
      </c>
      <c r="H116" s="678">
        <f t="shared" si="33"/>
        <v>0</v>
      </c>
      <c r="I116" s="678">
        <f t="shared" si="31"/>
        <v>0</v>
      </c>
      <c r="J116" s="677">
        <f>SUM(J114:J115)</f>
        <v>0</v>
      </c>
      <c r="K116" s="677">
        <f t="shared" ref="K116:L116" si="34">SUM(K114:K115)</f>
        <v>0</v>
      </c>
      <c r="L116" s="677">
        <f t="shared" si="34"/>
        <v>0</v>
      </c>
      <c r="M116" s="691"/>
      <c r="N116" s="642"/>
      <c r="O116" s="642"/>
      <c r="P116" s="642"/>
      <c r="Q116" s="642"/>
      <c r="R116" s="642"/>
      <c r="S116" s="642"/>
      <c r="T116" s="642"/>
      <c r="U116" s="642"/>
      <c r="V116" s="642"/>
    </row>
    <row r="117" spans="1:22" s="672" customFormat="1">
      <c r="A117" s="1482"/>
      <c r="B117" s="1480" t="s">
        <v>1147</v>
      </c>
      <c r="C117" s="669" t="s">
        <v>1148</v>
      </c>
      <c r="D117" s="667" t="s">
        <v>1020</v>
      </c>
      <c r="E117" s="668">
        <v>5</v>
      </c>
      <c r="F117" s="668">
        <v>5</v>
      </c>
      <c r="G117" s="668">
        <v>10</v>
      </c>
      <c r="H117" s="668">
        <v>5</v>
      </c>
      <c r="I117" s="668">
        <f t="shared" si="31"/>
        <v>25</v>
      </c>
      <c r="J117" s="669">
        <f t="shared" ref="J117:J120" si="35">IF($D117="Y",$E117*$I$3+$F117*$I$5+$G117*$I$6+$H117*$I$7,0)</f>
        <v>0</v>
      </c>
      <c r="K117" s="669"/>
      <c r="L117" s="669"/>
      <c r="M117" s="1476" t="s">
        <v>1149</v>
      </c>
      <c r="N117" s="671"/>
      <c r="O117" s="671"/>
      <c r="P117" s="671"/>
      <c r="Q117" s="671"/>
      <c r="R117" s="671"/>
      <c r="S117" s="671"/>
      <c r="T117" s="671"/>
      <c r="U117" s="671"/>
      <c r="V117" s="671"/>
    </row>
    <row r="118" spans="1:22" s="672" customFormat="1">
      <c r="A118" s="1482"/>
      <c r="B118" s="1480"/>
      <c r="C118" s="669" t="s">
        <v>992</v>
      </c>
      <c r="D118" s="667" t="s">
        <v>1020</v>
      </c>
      <c r="E118" s="668">
        <v>2</v>
      </c>
      <c r="F118" s="668">
        <v>3</v>
      </c>
      <c r="G118" s="668">
        <v>8</v>
      </c>
      <c r="H118" s="668"/>
      <c r="I118" s="668">
        <f t="shared" si="31"/>
        <v>13</v>
      </c>
      <c r="J118" s="669">
        <f t="shared" si="35"/>
        <v>0</v>
      </c>
      <c r="K118" s="669"/>
      <c r="L118" s="669"/>
      <c r="M118" s="1476"/>
      <c r="N118" s="671"/>
      <c r="O118" s="671"/>
      <c r="P118" s="671"/>
      <c r="Q118" s="671"/>
      <c r="R118" s="671"/>
      <c r="S118" s="671"/>
      <c r="T118" s="671"/>
      <c r="U118" s="671"/>
      <c r="V118" s="671"/>
    </row>
    <row r="119" spans="1:22" s="672" customFormat="1">
      <c r="A119" s="1482"/>
      <c r="B119" s="1480"/>
      <c r="C119" s="669" t="s">
        <v>1150</v>
      </c>
      <c r="D119" s="667" t="s">
        <v>1020</v>
      </c>
      <c r="E119" s="668">
        <v>3</v>
      </c>
      <c r="F119" s="668">
        <v>8</v>
      </c>
      <c r="G119" s="668">
        <v>10</v>
      </c>
      <c r="H119" s="668"/>
      <c r="I119" s="668">
        <f t="shared" si="31"/>
        <v>21</v>
      </c>
      <c r="J119" s="669">
        <f t="shared" si="35"/>
        <v>0</v>
      </c>
      <c r="K119" s="669"/>
      <c r="L119" s="669"/>
      <c r="M119" s="1476"/>
      <c r="N119" s="671"/>
      <c r="O119" s="671"/>
      <c r="P119" s="671"/>
      <c r="Q119" s="671"/>
      <c r="R119" s="671"/>
      <c r="S119" s="671"/>
      <c r="T119" s="671"/>
      <c r="U119" s="671"/>
      <c r="V119" s="671"/>
    </row>
    <row r="120" spans="1:22" s="672" customFormat="1">
      <c r="A120" s="1482"/>
      <c r="B120" s="1480"/>
      <c r="C120" s="669" t="s">
        <v>1151</v>
      </c>
      <c r="D120" s="667" t="s">
        <v>1020</v>
      </c>
      <c r="E120" s="668">
        <v>3</v>
      </c>
      <c r="F120" s="668">
        <v>5</v>
      </c>
      <c r="G120" s="668">
        <v>8</v>
      </c>
      <c r="H120" s="668"/>
      <c r="I120" s="668">
        <f t="shared" si="31"/>
        <v>16</v>
      </c>
      <c r="J120" s="669">
        <f t="shared" si="35"/>
        <v>0</v>
      </c>
      <c r="K120" s="669"/>
      <c r="L120" s="669"/>
      <c r="M120" s="1476"/>
      <c r="N120" s="671"/>
      <c r="O120" s="671"/>
      <c r="P120" s="671"/>
      <c r="Q120" s="671"/>
      <c r="R120" s="671"/>
      <c r="S120" s="671"/>
      <c r="T120" s="671"/>
      <c r="U120" s="671"/>
      <c r="V120" s="671"/>
    </row>
    <row r="121" spans="1:22">
      <c r="A121" s="1482"/>
      <c r="B121" s="1480"/>
      <c r="C121" s="683" t="s">
        <v>1051</v>
      </c>
      <c r="D121" s="677">
        <f>COUNTIF(D117:D120,"Y")</f>
        <v>0</v>
      </c>
      <c r="E121" s="678">
        <f t="shared" ref="E121:H121" si="36">SUMIF($D$117:$D$120,"=Y",E117:E120)</f>
        <v>0</v>
      </c>
      <c r="F121" s="678">
        <f t="shared" si="36"/>
        <v>0</v>
      </c>
      <c r="G121" s="678">
        <f t="shared" si="36"/>
        <v>0</v>
      </c>
      <c r="H121" s="678">
        <f t="shared" si="36"/>
        <v>0</v>
      </c>
      <c r="I121" s="678">
        <f t="shared" si="31"/>
        <v>0</v>
      </c>
      <c r="J121" s="677">
        <f>SUM(J117:J120)</f>
        <v>0</v>
      </c>
      <c r="K121" s="677">
        <f t="shared" ref="K121:L121" si="37">SUM(K117:K120)</f>
        <v>0</v>
      </c>
      <c r="L121" s="677">
        <f t="shared" si="37"/>
        <v>0</v>
      </c>
      <c r="M121" s="691"/>
      <c r="N121" s="642"/>
      <c r="O121" s="642"/>
      <c r="P121" s="642"/>
      <c r="Q121" s="642"/>
      <c r="R121" s="642"/>
      <c r="S121" s="642"/>
      <c r="T121" s="642"/>
      <c r="U121" s="642"/>
      <c r="V121" s="642"/>
    </row>
    <row r="122" spans="1:22" s="672" customFormat="1">
      <c r="A122" s="1482"/>
      <c r="B122" s="1480" t="s">
        <v>1152</v>
      </c>
      <c r="C122" s="669" t="s">
        <v>1153</v>
      </c>
      <c r="D122" s="667" t="s">
        <v>1020</v>
      </c>
      <c r="E122" s="684"/>
      <c r="F122" s="684">
        <v>10</v>
      </c>
      <c r="G122" s="684">
        <v>20</v>
      </c>
      <c r="H122" s="684"/>
      <c r="I122" s="668">
        <f t="shared" ref="I122:I133" si="38">SUM(E122:H122)</f>
        <v>30</v>
      </c>
      <c r="J122" s="669">
        <f t="shared" ref="J122:J133" si="39">IF($D122="Y",$E122*$I$3+$F122*$I$5+$G122*$I$6+$H122*$I$7,0)</f>
        <v>0</v>
      </c>
      <c r="K122" s="669"/>
      <c r="L122" s="669"/>
      <c r="M122" s="1476" t="s">
        <v>1154</v>
      </c>
      <c r="N122" s="671"/>
      <c r="O122" s="671"/>
      <c r="P122" s="671"/>
      <c r="Q122" s="671"/>
      <c r="R122" s="671"/>
      <c r="S122" s="671"/>
      <c r="T122" s="671"/>
      <c r="U122" s="671"/>
      <c r="V122" s="671"/>
    </row>
    <row r="123" spans="1:22" s="672" customFormat="1">
      <c r="A123" s="1482"/>
      <c r="B123" s="1480"/>
      <c r="C123" s="669" t="s">
        <v>1155</v>
      </c>
      <c r="D123" s="667" t="s">
        <v>1020</v>
      </c>
      <c r="E123" s="684"/>
      <c r="F123" s="684">
        <v>5</v>
      </c>
      <c r="G123" s="684">
        <v>10</v>
      </c>
      <c r="H123" s="684"/>
      <c r="I123" s="668">
        <f t="shared" si="38"/>
        <v>15</v>
      </c>
      <c r="J123" s="669">
        <f t="shared" si="39"/>
        <v>0</v>
      </c>
      <c r="K123" s="669"/>
      <c r="L123" s="669"/>
      <c r="M123" s="1476"/>
      <c r="N123" s="671"/>
      <c r="O123" s="671"/>
      <c r="P123" s="671"/>
      <c r="Q123" s="671"/>
      <c r="R123" s="671"/>
      <c r="S123" s="671"/>
      <c r="T123" s="671"/>
      <c r="U123" s="671"/>
      <c r="V123" s="671"/>
    </row>
    <row r="124" spans="1:22" s="672" customFormat="1">
      <c r="A124" s="1482"/>
      <c r="B124" s="1480"/>
      <c r="C124" s="669" t="s">
        <v>1156</v>
      </c>
      <c r="D124" s="667" t="s">
        <v>1020</v>
      </c>
      <c r="E124" s="684"/>
      <c r="F124" s="684">
        <v>5</v>
      </c>
      <c r="G124" s="684">
        <v>10</v>
      </c>
      <c r="H124" s="684"/>
      <c r="I124" s="668">
        <f t="shared" si="38"/>
        <v>15</v>
      </c>
      <c r="J124" s="669">
        <f t="shared" si="39"/>
        <v>0</v>
      </c>
      <c r="K124" s="669"/>
      <c r="L124" s="669"/>
      <c r="M124" s="1476"/>
      <c r="N124" s="671"/>
      <c r="O124" s="671"/>
      <c r="P124" s="671"/>
      <c r="Q124" s="671"/>
      <c r="R124" s="671"/>
      <c r="S124" s="671"/>
      <c r="T124" s="671"/>
      <c r="U124" s="671"/>
      <c r="V124" s="671"/>
    </row>
    <row r="125" spans="1:22" s="672" customFormat="1">
      <c r="A125" s="1482"/>
      <c r="B125" s="1480"/>
      <c r="C125" s="669" t="s">
        <v>1157</v>
      </c>
      <c r="D125" s="667" t="s">
        <v>1020</v>
      </c>
      <c r="E125" s="684"/>
      <c r="F125" s="684">
        <v>5</v>
      </c>
      <c r="G125" s="684">
        <v>10</v>
      </c>
      <c r="H125" s="684"/>
      <c r="I125" s="668">
        <f t="shared" si="38"/>
        <v>15</v>
      </c>
      <c r="J125" s="669">
        <f t="shared" si="39"/>
        <v>0</v>
      </c>
      <c r="K125" s="669"/>
      <c r="L125" s="669"/>
      <c r="M125" s="1476"/>
      <c r="N125" s="671"/>
      <c r="O125" s="671"/>
      <c r="P125" s="671"/>
      <c r="Q125" s="671"/>
      <c r="R125" s="671"/>
      <c r="S125" s="671"/>
      <c r="T125" s="671"/>
      <c r="U125" s="671"/>
      <c r="V125" s="671"/>
    </row>
    <row r="126" spans="1:22" s="672" customFormat="1">
      <c r="A126" s="1482"/>
      <c r="B126" s="1480"/>
      <c r="C126" s="669" t="s">
        <v>1158</v>
      </c>
      <c r="D126" s="667" t="s">
        <v>1020</v>
      </c>
      <c r="E126" s="684"/>
      <c r="F126" s="684">
        <v>5</v>
      </c>
      <c r="G126" s="684">
        <v>10</v>
      </c>
      <c r="H126" s="684"/>
      <c r="I126" s="668">
        <f t="shared" si="38"/>
        <v>15</v>
      </c>
      <c r="J126" s="669">
        <f>IF($D126="Y",$E126*$I$3+$F126*$I$5+$G126*$I$6+$H126*$I$7,0)</f>
        <v>0</v>
      </c>
      <c r="K126" s="669"/>
      <c r="L126" s="669"/>
      <c r="M126" s="1476"/>
      <c r="N126" s="671"/>
      <c r="O126" s="671"/>
      <c r="P126" s="671"/>
      <c r="Q126" s="671"/>
      <c r="R126" s="671"/>
      <c r="S126" s="671"/>
      <c r="T126" s="671"/>
      <c r="U126" s="671"/>
      <c r="V126" s="671"/>
    </row>
    <row r="127" spans="1:22" s="672" customFormat="1">
      <c r="A127" s="1482"/>
      <c r="B127" s="1480"/>
      <c r="C127" s="669" t="s">
        <v>1159</v>
      </c>
      <c r="D127" s="667" t="s">
        <v>1020</v>
      </c>
      <c r="E127" s="684"/>
      <c r="F127" s="684">
        <v>2</v>
      </c>
      <c r="G127" s="684">
        <v>8</v>
      </c>
      <c r="H127" s="684"/>
      <c r="I127" s="668">
        <f t="shared" si="38"/>
        <v>10</v>
      </c>
      <c r="J127" s="669">
        <f t="shared" si="39"/>
        <v>0</v>
      </c>
      <c r="K127" s="669"/>
      <c r="L127" s="669"/>
      <c r="M127" s="1476"/>
      <c r="N127" s="671"/>
      <c r="O127" s="671"/>
      <c r="P127" s="671"/>
      <c r="Q127" s="671"/>
      <c r="R127" s="671"/>
      <c r="S127" s="671"/>
      <c r="T127" s="671"/>
      <c r="U127" s="671"/>
      <c r="V127" s="671"/>
    </row>
    <row r="128" spans="1:22" s="672" customFormat="1">
      <c r="A128" s="1482"/>
      <c r="B128" s="1480"/>
      <c r="C128" s="669" t="s">
        <v>1160</v>
      </c>
      <c r="D128" s="667" t="s">
        <v>1020</v>
      </c>
      <c r="E128" s="684"/>
      <c r="F128" s="684">
        <v>5</v>
      </c>
      <c r="G128" s="684">
        <v>10</v>
      </c>
      <c r="H128" s="684"/>
      <c r="I128" s="668">
        <f t="shared" si="38"/>
        <v>15</v>
      </c>
      <c r="J128" s="669">
        <f t="shared" si="39"/>
        <v>0</v>
      </c>
      <c r="K128" s="669"/>
      <c r="L128" s="669"/>
      <c r="M128" s="1476"/>
      <c r="N128" s="671"/>
      <c r="O128" s="671"/>
      <c r="P128" s="671"/>
      <c r="Q128" s="671"/>
      <c r="R128" s="671"/>
      <c r="S128" s="671"/>
      <c r="T128" s="671"/>
      <c r="U128" s="671"/>
      <c r="V128" s="671"/>
    </row>
    <row r="129" spans="1:22" s="672" customFormat="1">
      <c r="A129" s="1482"/>
      <c r="B129" s="1480"/>
      <c r="C129" s="669" t="s">
        <v>1161</v>
      </c>
      <c r="D129" s="667" t="s">
        <v>1020</v>
      </c>
      <c r="E129" s="684"/>
      <c r="F129" s="684">
        <v>10</v>
      </c>
      <c r="G129" s="684">
        <v>20</v>
      </c>
      <c r="H129" s="684"/>
      <c r="I129" s="668">
        <f t="shared" si="38"/>
        <v>30</v>
      </c>
      <c r="J129" s="669">
        <f t="shared" si="39"/>
        <v>0</v>
      </c>
      <c r="K129" s="669"/>
      <c r="L129" s="669"/>
      <c r="M129" s="1476"/>
      <c r="N129" s="671"/>
      <c r="O129" s="671"/>
      <c r="P129" s="671"/>
      <c r="Q129" s="671"/>
      <c r="R129" s="671"/>
      <c r="S129" s="671"/>
      <c r="T129" s="671"/>
      <c r="U129" s="671"/>
      <c r="V129" s="671"/>
    </row>
    <row r="130" spans="1:22" s="672" customFormat="1">
      <c r="A130" s="1482"/>
      <c r="B130" s="1480"/>
      <c r="C130" s="669" t="s">
        <v>1162</v>
      </c>
      <c r="D130" s="667" t="s">
        <v>1020</v>
      </c>
      <c r="E130" s="684"/>
      <c r="F130" s="693">
        <v>5</v>
      </c>
      <c r="G130" s="693">
        <v>15</v>
      </c>
      <c r="H130" s="693"/>
      <c r="I130" s="668">
        <f t="shared" si="38"/>
        <v>20</v>
      </c>
      <c r="J130" s="669">
        <f t="shared" si="39"/>
        <v>0</v>
      </c>
      <c r="K130" s="669"/>
      <c r="L130" s="669"/>
      <c r="M130" s="1476"/>
      <c r="N130" s="671"/>
      <c r="O130" s="671"/>
      <c r="P130" s="671"/>
      <c r="Q130" s="671"/>
      <c r="R130" s="671"/>
      <c r="S130" s="671"/>
      <c r="T130" s="671"/>
      <c r="U130" s="671"/>
      <c r="V130" s="671"/>
    </row>
    <row r="131" spans="1:22" s="672" customFormat="1">
      <c r="A131" s="1482"/>
      <c r="B131" s="1480"/>
      <c r="C131" s="669" t="s">
        <v>1163</v>
      </c>
      <c r="D131" s="667" t="s">
        <v>1020</v>
      </c>
      <c r="E131" s="693">
        <v>5</v>
      </c>
      <c r="F131" s="693">
        <v>10</v>
      </c>
      <c r="G131" s="693">
        <v>25</v>
      </c>
      <c r="H131" s="693"/>
      <c r="I131" s="668">
        <f t="shared" si="38"/>
        <v>40</v>
      </c>
      <c r="J131" s="669">
        <f t="shared" si="39"/>
        <v>0</v>
      </c>
      <c r="K131" s="669"/>
      <c r="L131" s="669"/>
      <c r="M131" s="1476"/>
      <c r="N131" s="671"/>
      <c r="O131" s="671"/>
      <c r="P131" s="671"/>
      <c r="Q131" s="671"/>
      <c r="R131" s="671"/>
      <c r="S131" s="671"/>
      <c r="T131" s="671"/>
      <c r="U131" s="671"/>
      <c r="V131" s="671"/>
    </row>
    <row r="132" spans="1:22" s="672" customFormat="1">
      <c r="A132" s="1482"/>
      <c r="B132" s="1480"/>
      <c r="C132" s="669" t="s">
        <v>1164</v>
      </c>
      <c r="D132" s="667" t="s">
        <v>1020</v>
      </c>
      <c r="E132" s="684">
        <v>5</v>
      </c>
      <c r="F132" s="684">
        <v>5</v>
      </c>
      <c r="G132" s="684">
        <v>10</v>
      </c>
      <c r="H132" s="684"/>
      <c r="I132" s="668">
        <f t="shared" si="38"/>
        <v>20</v>
      </c>
      <c r="J132" s="669">
        <f t="shared" si="39"/>
        <v>0</v>
      </c>
      <c r="K132" s="669"/>
      <c r="L132" s="669"/>
      <c r="M132" s="1476"/>
      <c r="N132" s="671"/>
      <c r="O132" s="671"/>
      <c r="P132" s="671"/>
      <c r="Q132" s="671"/>
      <c r="R132" s="671"/>
      <c r="S132" s="671"/>
      <c r="T132" s="671"/>
      <c r="U132" s="671"/>
      <c r="V132" s="671"/>
    </row>
    <row r="133" spans="1:22" s="672" customFormat="1" ht="36">
      <c r="A133" s="1482"/>
      <c r="B133" s="1480"/>
      <c r="C133" s="669" t="s">
        <v>1165</v>
      </c>
      <c r="D133" s="667" t="s">
        <v>1020</v>
      </c>
      <c r="E133" s="684"/>
      <c r="F133" s="684">
        <v>5</v>
      </c>
      <c r="G133" s="684">
        <v>10</v>
      </c>
      <c r="H133" s="684"/>
      <c r="I133" s="668">
        <f t="shared" si="38"/>
        <v>15</v>
      </c>
      <c r="J133" s="669">
        <f t="shared" si="39"/>
        <v>0</v>
      </c>
      <c r="K133" s="669"/>
      <c r="L133" s="669"/>
      <c r="M133" s="686" t="s">
        <v>1166</v>
      </c>
      <c r="N133" s="671"/>
      <c r="O133" s="671"/>
      <c r="P133" s="671"/>
      <c r="Q133" s="671"/>
      <c r="R133" s="671"/>
      <c r="S133" s="671"/>
      <c r="T133" s="671"/>
      <c r="U133" s="671"/>
      <c r="V133" s="671"/>
    </row>
    <row r="134" spans="1:22">
      <c r="A134" s="1482"/>
      <c r="B134" s="1480"/>
      <c r="C134" s="683" t="s">
        <v>1051</v>
      </c>
      <c r="D134" s="677">
        <f>COUNTIF(D122:D133,"Y")</f>
        <v>0</v>
      </c>
      <c r="E134" s="678">
        <f t="shared" ref="E134:H134" si="40">SUMIF($D$122:$D$133,"=Y",E122:E133)</f>
        <v>0</v>
      </c>
      <c r="F134" s="678">
        <f t="shared" si="40"/>
        <v>0</v>
      </c>
      <c r="G134" s="678">
        <f t="shared" si="40"/>
        <v>0</v>
      </c>
      <c r="H134" s="678">
        <f t="shared" si="40"/>
        <v>0</v>
      </c>
      <c r="I134" s="678">
        <f t="shared" ref="I134:I146" si="41">SUM(E134:H134)</f>
        <v>0</v>
      </c>
      <c r="J134" s="677">
        <f>SUM(J122:J133)</f>
        <v>0</v>
      </c>
      <c r="K134" s="677">
        <f t="shared" ref="K134:L134" si="42">SUM(K122:K133)</f>
        <v>0</v>
      </c>
      <c r="L134" s="677">
        <f t="shared" si="42"/>
        <v>0</v>
      </c>
      <c r="M134" s="687"/>
      <c r="N134" s="642"/>
      <c r="O134" s="642"/>
      <c r="P134" s="642"/>
      <c r="Q134" s="642"/>
      <c r="R134" s="642"/>
      <c r="S134" s="642"/>
      <c r="T134" s="642"/>
      <c r="U134" s="642"/>
      <c r="V134" s="642"/>
    </row>
    <row r="135" spans="1:22" s="672" customFormat="1" ht="36">
      <c r="A135" s="1482"/>
      <c r="B135" s="1473" t="s">
        <v>1167</v>
      </c>
      <c r="C135" s="694" t="s">
        <v>1168</v>
      </c>
      <c r="D135" s="695" t="s">
        <v>1020</v>
      </c>
      <c r="E135" s="696"/>
      <c r="F135" s="696"/>
      <c r="G135" s="697">
        <v>10</v>
      </c>
      <c r="H135" s="697"/>
      <c r="I135" s="696">
        <f t="shared" si="41"/>
        <v>10</v>
      </c>
      <c r="J135" s="698">
        <f t="shared" ref="J135:J146" si="43">IF($D135="Y",$E135*$I$3+$F135*$I$5+$G135*$I$6+$H135*$I$7,0)</f>
        <v>0</v>
      </c>
      <c r="K135" s="669"/>
      <c r="L135" s="669"/>
      <c r="M135" s="670" t="s">
        <v>1169</v>
      </c>
      <c r="N135" s="671"/>
      <c r="O135" s="671"/>
      <c r="P135" s="671"/>
      <c r="Q135" s="671"/>
      <c r="R135" s="671"/>
      <c r="S135" s="671"/>
      <c r="T135" s="671"/>
      <c r="U135" s="671"/>
      <c r="V135" s="671"/>
    </row>
    <row r="136" spans="1:22">
      <c r="A136" s="1482"/>
      <c r="B136" s="1475"/>
      <c r="C136" s="683" t="s">
        <v>1051</v>
      </c>
      <c r="D136" s="677">
        <f>COUNTIF(D135:D135,"Y")</f>
        <v>0</v>
      </c>
      <c r="E136" s="678">
        <f>SUMIF($D$135:$D$135,"=Y",E135:E135)</f>
        <v>0</v>
      </c>
      <c r="F136" s="678">
        <f t="shared" ref="F136:L136" si="44">SUMIF($D$135:$D$135,"=Y",F135:F135)</f>
        <v>0</v>
      </c>
      <c r="G136" s="678">
        <f t="shared" si="44"/>
        <v>0</v>
      </c>
      <c r="H136" s="678">
        <f t="shared" si="44"/>
        <v>0</v>
      </c>
      <c r="I136" s="678">
        <f t="shared" si="41"/>
        <v>0</v>
      </c>
      <c r="J136" s="677">
        <f t="shared" si="44"/>
        <v>0</v>
      </c>
      <c r="K136" s="677">
        <f t="shared" si="44"/>
        <v>0</v>
      </c>
      <c r="L136" s="677">
        <f t="shared" si="44"/>
        <v>0</v>
      </c>
      <c r="M136" s="691"/>
      <c r="N136" s="642"/>
      <c r="O136" s="642"/>
      <c r="P136" s="642"/>
      <c r="Q136" s="642"/>
      <c r="R136" s="642"/>
      <c r="S136" s="642"/>
      <c r="T136" s="642"/>
      <c r="U136" s="642"/>
      <c r="V136" s="642"/>
    </row>
    <row r="137" spans="1:22" s="672" customFormat="1">
      <c r="A137" s="1482"/>
      <c r="B137" s="1473" t="s">
        <v>431</v>
      </c>
      <c r="C137" s="669" t="s">
        <v>1170</v>
      </c>
      <c r="D137" s="667" t="s">
        <v>1020</v>
      </c>
      <c r="E137" s="668"/>
      <c r="F137" s="668">
        <v>10</v>
      </c>
      <c r="G137" s="684">
        <v>10</v>
      </c>
      <c r="H137" s="684"/>
      <c r="I137" s="668">
        <f t="shared" si="41"/>
        <v>20</v>
      </c>
      <c r="J137" s="669">
        <f t="shared" si="43"/>
        <v>0</v>
      </c>
      <c r="K137" s="669"/>
      <c r="L137" s="669"/>
      <c r="M137" s="1476" t="s">
        <v>1171</v>
      </c>
      <c r="N137" s="671"/>
      <c r="O137" s="671"/>
      <c r="P137" s="671"/>
      <c r="Q137" s="671"/>
      <c r="R137" s="671"/>
      <c r="S137" s="671"/>
      <c r="T137" s="671"/>
      <c r="U137" s="671"/>
      <c r="V137" s="671"/>
    </row>
    <row r="138" spans="1:22" s="672" customFormat="1">
      <c r="A138" s="1482"/>
      <c r="B138" s="1474"/>
      <c r="C138" s="669" t="s">
        <v>1172</v>
      </c>
      <c r="D138" s="667" t="s">
        <v>1020</v>
      </c>
      <c r="E138" s="668"/>
      <c r="F138" s="668"/>
      <c r="G138" s="684">
        <v>10</v>
      </c>
      <c r="H138" s="684"/>
      <c r="I138" s="668">
        <f t="shared" si="41"/>
        <v>10</v>
      </c>
      <c r="J138" s="669">
        <f t="shared" si="43"/>
        <v>0</v>
      </c>
      <c r="K138" s="669"/>
      <c r="L138" s="669"/>
      <c r="M138" s="1476"/>
      <c r="N138" s="671"/>
      <c r="O138" s="671"/>
      <c r="P138" s="671"/>
      <c r="Q138" s="671"/>
      <c r="R138" s="671"/>
      <c r="S138" s="671"/>
      <c r="T138" s="671"/>
      <c r="U138" s="671"/>
      <c r="V138" s="671"/>
    </row>
    <row r="139" spans="1:22">
      <c r="A139" s="1482"/>
      <c r="B139" s="1475"/>
      <c r="C139" s="683" t="s">
        <v>1051</v>
      </c>
      <c r="D139" s="677">
        <f>COUNTIF(D137:D138,"Y")</f>
        <v>0</v>
      </c>
      <c r="E139" s="678">
        <f>SUMIF($D$137:$D$138,"=Y",E137:E138)</f>
        <v>0</v>
      </c>
      <c r="F139" s="678">
        <f t="shared" ref="F139:L139" si="45">SUMIF($D$137:$D$138,"=Y",F137:F138)</f>
        <v>0</v>
      </c>
      <c r="G139" s="678">
        <f t="shared" si="45"/>
        <v>0</v>
      </c>
      <c r="H139" s="678">
        <f t="shared" si="45"/>
        <v>0</v>
      </c>
      <c r="I139" s="678">
        <f t="shared" si="41"/>
        <v>0</v>
      </c>
      <c r="J139" s="677">
        <f t="shared" si="45"/>
        <v>0</v>
      </c>
      <c r="K139" s="677">
        <f t="shared" si="45"/>
        <v>0</v>
      </c>
      <c r="L139" s="677">
        <f t="shared" si="45"/>
        <v>0</v>
      </c>
      <c r="M139" s="691"/>
      <c r="N139" s="642"/>
      <c r="O139" s="642"/>
      <c r="P139" s="642"/>
      <c r="Q139" s="642"/>
      <c r="R139" s="642"/>
      <c r="S139" s="642"/>
      <c r="T139" s="642"/>
      <c r="U139" s="642"/>
      <c r="V139" s="642"/>
    </row>
    <row r="140" spans="1:22" s="672" customFormat="1">
      <c r="A140" s="1482"/>
      <c r="B140" s="1473" t="s">
        <v>1173</v>
      </c>
      <c r="C140" s="669" t="s">
        <v>1174</v>
      </c>
      <c r="D140" s="667" t="s">
        <v>1020</v>
      </c>
      <c r="E140" s="668"/>
      <c r="F140" s="668">
        <v>2</v>
      </c>
      <c r="G140" s="684">
        <v>10</v>
      </c>
      <c r="H140" s="668"/>
      <c r="I140" s="668">
        <f t="shared" si="41"/>
        <v>12</v>
      </c>
      <c r="J140" s="669">
        <f t="shared" si="43"/>
        <v>0</v>
      </c>
      <c r="K140" s="669"/>
      <c r="L140" s="669"/>
      <c r="M140" s="1476" t="s">
        <v>1175</v>
      </c>
      <c r="N140" s="671"/>
      <c r="O140" s="671"/>
      <c r="P140" s="671"/>
      <c r="Q140" s="671"/>
      <c r="R140" s="671"/>
      <c r="S140" s="671"/>
      <c r="T140" s="671"/>
      <c r="U140" s="671"/>
      <c r="V140" s="671"/>
    </row>
    <row r="141" spans="1:22" s="672" customFormat="1">
      <c r="A141" s="1482"/>
      <c r="B141" s="1474"/>
      <c r="C141" s="669" t="s">
        <v>1176</v>
      </c>
      <c r="D141" s="667" t="s">
        <v>1020</v>
      </c>
      <c r="E141" s="668"/>
      <c r="F141" s="668">
        <v>1</v>
      </c>
      <c r="G141" s="684">
        <v>10</v>
      </c>
      <c r="H141" s="668"/>
      <c r="I141" s="668">
        <f t="shared" si="41"/>
        <v>11</v>
      </c>
      <c r="J141" s="669">
        <f t="shared" si="43"/>
        <v>0</v>
      </c>
      <c r="K141" s="669"/>
      <c r="L141" s="669"/>
      <c r="M141" s="1476"/>
      <c r="N141" s="671"/>
      <c r="O141" s="671"/>
      <c r="P141" s="671"/>
      <c r="Q141" s="671"/>
      <c r="R141" s="671"/>
      <c r="S141" s="671"/>
      <c r="T141" s="671"/>
      <c r="U141" s="671"/>
      <c r="V141" s="671"/>
    </row>
    <row r="142" spans="1:22" s="672" customFormat="1">
      <c r="A142" s="1482"/>
      <c r="B142" s="1474"/>
      <c r="C142" s="669" t="s">
        <v>1177</v>
      </c>
      <c r="D142" s="667" t="s">
        <v>1020</v>
      </c>
      <c r="E142" s="668"/>
      <c r="F142" s="668">
        <v>1</v>
      </c>
      <c r="G142" s="684">
        <v>10</v>
      </c>
      <c r="H142" s="668"/>
      <c r="I142" s="668">
        <f t="shared" si="41"/>
        <v>11</v>
      </c>
      <c r="J142" s="669">
        <f t="shared" si="43"/>
        <v>0</v>
      </c>
      <c r="K142" s="669"/>
      <c r="L142" s="669"/>
      <c r="M142" s="1476"/>
      <c r="N142" s="671"/>
      <c r="O142" s="671"/>
      <c r="P142" s="671"/>
      <c r="Q142" s="671"/>
      <c r="R142" s="671"/>
      <c r="S142" s="671"/>
      <c r="T142" s="671"/>
      <c r="U142" s="671"/>
      <c r="V142" s="671"/>
    </row>
    <row r="143" spans="1:22" s="672" customFormat="1">
      <c r="A143" s="1482"/>
      <c r="B143" s="1474"/>
      <c r="C143" s="669" t="s">
        <v>458</v>
      </c>
      <c r="D143" s="667" t="s">
        <v>1020</v>
      </c>
      <c r="E143" s="668">
        <v>1</v>
      </c>
      <c r="F143" s="668">
        <v>3</v>
      </c>
      <c r="G143" s="684">
        <v>15</v>
      </c>
      <c r="H143" s="668"/>
      <c r="I143" s="668">
        <f t="shared" si="41"/>
        <v>19</v>
      </c>
      <c r="J143" s="669">
        <f t="shared" si="43"/>
        <v>0</v>
      </c>
      <c r="K143" s="669"/>
      <c r="L143" s="669"/>
      <c r="M143" s="1476"/>
      <c r="N143" s="671"/>
      <c r="O143" s="671"/>
      <c r="P143" s="671"/>
      <c r="Q143" s="671"/>
      <c r="R143" s="671"/>
      <c r="S143" s="671"/>
      <c r="T143" s="671"/>
      <c r="U143" s="671"/>
      <c r="V143" s="671"/>
    </row>
    <row r="144" spans="1:22" s="672" customFormat="1">
      <c r="A144" s="1482"/>
      <c r="B144" s="1474"/>
      <c r="C144" s="669" t="s">
        <v>616</v>
      </c>
      <c r="D144" s="667" t="s">
        <v>1020</v>
      </c>
      <c r="E144" s="668"/>
      <c r="F144" s="668"/>
      <c r="G144" s="684">
        <v>8</v>
      </c>
      <c r="H144" s="668"/>
      <c r="I144" s="668">
        <f t="shared" si="41"/>
        <v>8</v>
      </c>
      <c r="J144" s="669">
        <f t="shared" si="43"/>
        <v>0</v>
      </c>
      <c r="K144" s="669"/>
      <c r="L144" s="669"/>
      <c r="M144" s="1476"/>
      <c r="N144" s="671"/>
      <c r="O144" s="671"/>
      <c r="P144" s="671"/>
      <c r="Q144" s="671"/>
      <c r="R144" s="671"/>
      <c r="S144" s="671"/>
      <c r="T144" s="671"/>
      <c r="U144" s="671"/>
      <c r="V144" s="671"/>
    </row>
    <row r="145" spans="1:22" s="672" customFormat="1">
      <c r="A145" s="1482"/>
      <c r="B145" s="1474"/>
      <c r="C145" s="669" t="s">
        <v>1178</v>
      </c>
      <c r="D145" s="667" t="s">
        <v>1020</v>
      </c>
      <c r="E145" s="668"/>
      <c r="F145" s="668"/>
      <c r="G145" s="684">
        <v>8</v>
      </c>
      <c r="H145" s="668"/>
      <c r="I145" s="668">
        <f t="shared" si="41"/>
        <v>8</v>
      </c>
      <c r="J145" s="669">
        <f t="shared" si="43"/>
        <v>0</v>
      </c>
      <c r="K145" s="669"/>
      <c r="L145" s="669"/>
      <c r="M145" s="1476"/>
      <c r="N145" s="671"/>
      <c r="O145" s="671"/>
      <c r="P145" s="671"/>
      <c r="Q145" s="671"/>
      <c r="R145" s="671"/>
      <c r="S145" s="671"/>
      <c r="T145" s="671"/>
      <c r="U145" s="671"/>
      <c r="V145" s="671"/>
    </row>
    <row r="146" spans="1:22" s="672" customFormat="1" ht="36">
      <c r="A146" s="1482"/>
      <c r="B146" s="1474"/>
      <c r="C146" s="669" t="s">
        <v>1179</v>
      </c>
      <c r="D146" s="667" t="s">
        <v>1020</v>
      </c>
      <c r="E146" s="668">
        <v>1</v>
      </c>
      <c r="F146" s="668">
        <v>5</v>
      </c>
      <c r="G146" s="684">
        <v>15</v>
      </c>
      <c r="H146" s="668">
        <v>12</v>
      </c>
      <c r="I146" s="668">
        <f t="shared" si="41"/>
        <v>33</v>
      </c>
      <c r="J146" s="669">
        <f t="shared" si="43"/>
        <v>0</v>
      </c>
      <c r="K146" s="669"/>
      <c r="L146" s="669"/>
      <c r="M146" s="686" t="s">
        <v>1180</v>
      </c>
      <c r="N146" s="671"/>
      <c r="O146" s="671"/>
      <c r="P146" s="671"/>
      <c r="Q146" s="671"/>
      <c r="R146" s="671"/>
      <c r="S146" s="671"/>
      <c r="T146" s="671"/>
      <c r="U146" s="671"/>
      <c r="V146" s="671"/>
    </row>
    <row r="147" spans="1:22">
      <c r="A147" s="1482"/>
      <c r="B147" s="1475"/>
      <c r="C147" s="683" t="s">
        <v>1051</v>
      </c>
      <c r="D147" s="677">
        <f>COUNTIF(D140:D146,"Y")</f>
        <v>0</v>
      </c>
      <c r="E147" s="678">
        <f t="shared" ref="E147:F147" si="46">SUMIF($D$140:$D$146,"=Y",E140:E146)</f>
        <v>0</v>
      </c>
      <c r="F147" s="678">
        <f t="shared" si="46"/>
        <v>0</v>
      </c>
      <c r="G147" s="678">
        <f>SUMIF($D$140:$D$146,"=Y",G140:G146)</f>
        <v>0</v>
      </c>
      <c r="H147" s="678">
        <f>SUMIF($D$140:$D$146,"=Y",H140:H146)</f>
        <v>0</v>
      </c>
      <c r="I147" s="678">
        <f>SUM(E147:H147)</f>
        <v>0</v>
      </c>
      <c r="J147" s="677">
        <f>SUM(J140:J146)</f>
        <v>0</v>
      </c>
      <c r="K147" s="677">
        <f>SUM(K140:K146)</f>
        <v>0</v>
      </c>
      <c r="L147" s="677">
        <f>SUM(L140:L146)</f>
        <v>0</v>
      </c>
      <c r="M147" s="687"/>
      <c r="N147" s="642"/>
      <c r="O147" s="642"/>
      <c r="P147" s="642"/>
      <c r="Q147" s="642"/>
      <c r="R147" s="642"/>
      <c r="S147" s="642"/>
      <c r="T147" s="642"/>
      <c r="U147" s="642"/>
      <c r="V147" s="642"/>
    </row>
    <row r="148" spans="1:22">
      <c r="A148" s="1483"/>
      <c r="B148" s="1477" t="s">
        <v>1022</v>
      </c>
      <c r="C148" s="1478"/>
      <c r="D148" s="699">
        <f>D35+D40+D53+D56+D74+D87+D89+D95+D103+D113+D116+D121+D134+D136+D139+D147</f>
        <v>0</v>
      </c>
      <c r="E148" s="700">
        <f t="shared" ref="E148:L148" si="47">E35+E40+E53+E56+E74+E87+E89+E95+E103+E113+E116+E121+E134+E136+E139+E147</f>
        <v>0</v>
      </c>
      <c r="F148" s="700">
        <f t="shared" si="47"/>
        <v>0</v>
      </c>
      <c r="G148" s="700">
        <f t="shared" si="47"/>
        <v>0</v>
      </c>
      <c r="H148" s="700">
        <f t="shared" si="47"/>
        <v>0</v>
      </c>
      <c r="I148" s="700">
        <f>SUM(E148:H148)</f>
        <v>0</v>
      </c>
      <c r="J148" s="699">
        <f t="shared" si="47"/>
        <v>0</v>
      </c>
      <c r="K148" s="699">
        <f t="shared" si="47"/>
        <v>0</v>
      </c>
      <c r="L148" s="699">
        <f t="shared" si="47"/>
        <v>0</v>
      </c>
      <c r="M148" s="701" t="s">
        <v>472</v>
      </c>
      <c r="N148" s="642"/>
      <c r="O148" s="642"/>
      <c r="P148" s="642"/>
      <c r="Q148" s="642"/>
      <c r="R148" s="642"/>
      <c r="S148" s="642"/>
      <c r="T148" s="642"/>
      <c r="U148" s="642"/>
      <c r="V148" s="642"/>
    </row>
    <row r="149" spans="1:22" ht="15" thickBot="1">
      <c r="A149" s="1465" t="s">
        <v>1181</v>
      </c>
      <c r="B149" s="1466"/>
      <c r="C149" s="1466"/>
      <c r="D149" s="702">
        <f>D11+D30+D148</f>
        <v>0</v>
      </c>
      <c r="E149" s="703">
        <f t="shared" ref="E149:L149" si="48">E11+E30+E148</f>
        <v>0</v>
      </c>
      <c r="F149" s="703">
        <f t="shared" si="48"/>
        <v>0</v>
      </c>
      <c r="G149" s="703">
        <f t="shared" si="48"/>
        <v>0</v>
      </c>
      <c r="H149" s="703">
        <f t="shared" si="48"/>
        <v>0</v>
      </c>
      <c r="I149" s="703">
        <f>SUM(E149:H149)</f>
        <v>0</v>
      </c>
      <c r="J149" s="702">
        <f t="shared" si="48"/>
        <v>0</v>
      </c>
      <c r="K149" s="702">
        <f t="shared" si="48"/>
        <v>0</v>
      </c>
      <c r="L149" s="702">
        <f t="shared" si="48"/>
        <v>0</v>
      </c>
      <c r="M149" s="704"/>
      <c r="N149" s="642"/>
      <c r="O149" s="642"/>
      <c r="P149" s="642"/>
      <c r="Q149" s="642"/>
      <c r="R149" s="642"/>
      <c r="S149" s="642"/>
      <c r="T149" s="642"/>
      <c r="U149" s="642"/>
      <c r="V149" s="642"/>
    </row>
    <row r="151" spans="1:22" ht="15" thickBot="1">
      <c r="A151" s="1467" t="s">
        <v>1182</v>
      </c>
      <c r="B151" s="1467"/>
      <c r="C151" s="1467"/>
      <c r="D151" s="1467"/>
      <c r="E151" s="1467"/>
      <c r="F151" s="1467"/>
      <c r="G151" s="1467"/>
      <c r="H151" s="1467"/>
      <c r="I151" s="1467"/>
      <c r="J151" s="1467"/>
      <c r="K151" s="1467"/>
      <c r="L151" s="1467"/>
      <c r="M151" s="1467"/>
    </row>
    <row r="152" spans="1:22" s="711" customFormat="1">
      <c r="A152" s="1468" t="s">
        <v>1183</v>
      </c>
      <c r="B152" s="1469"/>
      <c r="C152" s="705" t="s">
        <v>1184</v>
      </c>
      <c r="D152" s="1469" t="s">
        <v>1183</v>
      </c>
      <c r="E152" s="1469"/>
      <c r="F152" s="705" t="s">
        <v>1185</v>
      </c>
      <c r="G152" s="705" t="s">
        <v>1186</v>
      </c>
      <c r="H152" s="705" t="s">
        <v>1187</v>
      </c>
      <c r="I152" s="1470" t="s">
        <v>1188</v>
      </c>
      <c r="J152" s="1471"/>
      <c r="K152" s="1472"/>
      <c r="L152" s="706"/>
      <c r="M152" s="707"/>
      <c r="N152" s="708"/>
      <c r="O152" s="709"/>
      <c r="P152" s="709"/>
      <c r="Q152" s="710"/>
    </row>
    <row r="153" spans="1:22" s="711" customFormat="1">
      <c r="A153" s="1388" t="s">
        <v>1189</v>
      </c>
      <c r="B153" s="1389"/>
      <c r="C153" s="1434" t="s">
        <v>1190</v>
      </c>
      <c r="D153" s="1432" t="s">
        <v>1191</v>
      </c>
      <c r="E153" s="712" t="s">
        <v>1192</v>
      </c>
      <c r="F153" s="713" t="s">
        <v>1193</v>
      </c>
      <c r="G153" s="714">
        <v>0</v>
      </c>
      <c r="H153" s="1353">
        <f>IF(F155="Y",G155,IF(F154="Y",G154,IF(F153="Y",G153,0)))</f>
        <v>0</v>
      </c>
      <c r="I153" s="1423" t="s">
        <v>1194</v>
      </c>
      <c r="J153" s="1424"/>
      <c r="K153" s="1425"/>
      <c r="L153" s="1363" t="s">
        <v>1195</v>
      </c>
      <c r="M153" s="1364"/>
      <c r="N153" s="708"/>
      <c r="O153" s="709"/>
      <c r="P153" s="709"/>
      <c r="Q153" s="710"/>
    </row>
    <row r="154" spans="1:22" s="711" customFormat="1">
      <c r="A154" s="1390"/>
      <c r="B154" s="1391"/>
      <c r="C154" s="1435"/>
      <c r="D154" s="1432"/>
      <c r="E154" s="712" t="s">
        <v>1196</v>
      </c>
      <c r="F154" s="713" t="s">
        <v>1020</v>
      </c>
      <c r="G154" s="714">
        <v>0.3</v>
      </c>
      <c r="H154" s="1353"/>
      <c r="I154" s="1426"/>
      <c r="J154" s="1427"/>
      <c r="K154" s="1428"/>
      <c r="L154" s="1365"/>
      <c r="M154" s="1366"/>
      <c r="N154" s="708"/>
      <c r="O154" s="709"/>
      <c r="P154" s="709"/>
      <c r="Q154" s="710"/>
    </row>
    <row r="155" spans="1:22" s="711" customFormat="1">
      <c r="A155" s="1390"/>
      <c r="B155" s="1391"/>
      <c r="C155" s="1435"/>
      <c r="D155" s="1432"/>
      <c r="E155" s="712" t="s">
        <v>1197</v>
      </c>
      <c r="F155" s="713" t="s">
        <v>1020</v>
      </c>
      <c r="G155" s="714">
        <v>0.5</v>
      </c>
      <c r="H155" s="1353"/>
      <c r="I155" s="1429"/>
      <c r="J155" s="1430"/>
      <c r="K155" s="1431"/>
      <c r="L155" s="1367"/>
      <c r="M155" s="1368"/>
      <c r="N155" s="708"/>
      <c r="O155" s="715"/>
      <c r="P155" s="709"/>
      <c r="Q155" s="710"/>
    </row>
    <row r="156" spans="1:22" s="711" customFormat="1">
      <c r="A156" s="1390"/>
      <c r="B156" s="1391"/>
      <c r="C156" s="1435"/>
      <c r="D156" s="1434" t="s">
        <v>1198</v>
      </c>
      <c r="E156" s="712" t="s">
        <v>1199</v>
      </c>
      <c r="F156" s="716" t="s">
        <v>1193</v>
      </c>
      <c r="G156" s="714">
        <v>0</v>
      </c>
      <c r="H156" s="1353">
        <f>IF(F158="Y",G158,IF(F157="Y",G157,IF(F156="Y",G156,0)))</f>
        <v>0</v>
      </c>
      <c r="I156" s="1423" t="s">
        <v>1194</v>
      </c>
      <c r="J156" s="1424"/>
      <c r="K156" s="1425"/>
      <c r="L156" s="1363" t="s">
        <v>1200</v>
      </c>
      <c r="M156" s="1364"/>
      <c r="N156" s="708"/>
      <c r="O156" s="715"/>
      <c r="P156" s="709"/>
      <c r="Q156" s="710"/>
    </row>
    <row r="157" spans="1:22" s="711" customFormat="1">
      <c r="A157" s="1390"/>
      <c r="B157" s="1391"/>
      <c r="C157" s="1435"/>
      <c r="D157" s="1435"/>
      <c r="E157" s="712" t="s">
        <v>1201</v>
      </c>
      <c r="F157" s="716" t="s">
        <v>1020</v>
      </c>
      <c r="G157" s="714">
        <v>0.2</v>
      </c>
      <c r="H157" s="1353"/>
      <c r="I157" s="1426"/>
      <c r="J157" s="1427"/>
      <c r="K157" s="1428"/>
      <c r="L157" s="1365"/>
      <c r="M157" s="1366"/>
      <c r="N157" s="708"/>
      <c r="O157" s="715"/>
      <c r="P157" s="709"/>
      <c r="Q157" s="710"/>
    </row>
    <row r="158" spans="1:22" s="711" customFormat="1">
      <c r="A158" s="1390"/>
      <c r="B158" s="1391"/>
      <c r="C158" s="1436"/>
      <c r="D158" s="1436"/>
      <c r="E158" s="712" t="s">
        <v>1202</v>
      </c>
      <c r="F158" s="716" t="s">
        <v>1020</v>
      </c>
      <c r="G158" s="714">
        <v>0.5</v>
      </c>
      <c r="H158" s="1353"/>
      <c r="I158" s="1429"/>
      <c r="J158" s="1430"/>
      <c r="K158" s="1431"/>
      <c r="L158" s="1367"/>
      <c r="M158" s="1368"/>
      <c r="N158" s="708"/>
      <c r="O158" s="715"/>
      <c r="P158" s="709"/>
      <c r="Q158" s="710"/>
    </row>
    <row r="159" spans="1:22" s="711" customFormat="1">
      <c r="A159" s="1390"/>
      <c r="B159" s="1391"/>
      <c r="C159" s="1434" t="s">
        <v>1203</v>
      </c>
      <c r="D159" s="1432" t="s">
        <v>1204</v>
      </c>
      <c r="E159" s="712" t="s">
        <v>1205</v>
      </c>
      <c r="F159" s="716" t="s">
        <v>1193</v>
      </c>
      <c r="G159" s="714">
        <v>0</v>
      </c>
      <c r="H159" s="1353">
        <f>IF(F161="Y",G161,IF(F160="Y",G160,IF(F159="Y",G159,0)))</f>
        <v>0</v>
      </c>
      <c r="I159" s="1423" t="s">
        <v>1206</v>
      </c>
      <c r="J159" s="1424"/>
      <c r="K159" s="1425"/>
      <c r="L159" s="1363" t="s">
        <v>1207</v>
      </c>
      <c r="M159" s="1364"/>
      <c r="N159" s="708"/>
      <c r="O159" s="709"/>
      <c r="P159" s="709"/>
      <c r="Q159" s="710"/>
    </row>
    <row r="160" spans="1:22" s="711" customFormat="1">
      <c r="A160" s="1390"/>
      <c r="B160" s="1391"/>
      <c r="C160" s="1435"/>
      <c r="D160" s="1432"/>
      <c r="E160" s="712" t="s">
        <v>317</v>
      </c>
      <c r="F160" s="716" t="s">
        <v>1020</v>
      </c>
      <c r="G160" s="714">
        <v>0.3</v>
      </c>
      <c r="H160" s="1353"/>
      <c r="I160" s="1426"/>
      <c r="J160" s="1427"/>
      <c r="K160" s="1428"/>
      <c r="L160" s="1365"/>
      <c r="M160" s="1366"/>
      <c r="N160" s="708"/>
      <c r="O160" s="709"/>
      <c r="P160" s="709"/>
      <c r="Q160" s="710"/>
    </row>
    <row r="161" spans="1:17" s="711" customFormat="1">
      <c r="A161" s="1390"/>
      <c r="B161" s="1391"/>
      <c r="C161" s="1435"/>
      <c r="D161" s="1432"/>
      <c r="E161" s="712" t="s">
        <v>1208</v>
      </c>
      <c r="F161" s="716"/>
      <c r="G161" s="714">
        <v>0.5</v>
      </c>
      <c r="H161" s="1353"/>
      <c r="I161" s="1429"/>
      <c r="J161" s="1430"/>
      <c r="K161" s="1431"/>
      <c r="L161" s="1367"/>
      <c r="M161" s="1368"/>
      <c r="N161" s="708"/>
      <c r="O161" s="715"/>
      <c r="P161" s="709"/>
      <c r="Q161" s="710"/>
    </row>
    <row r="162" spans="1:17" s="711" customFormat="1">
      <c r="A162" s="1390"/>
      <c r="B162" s="1391"/>
      <c r="C162" s="1435"/>
      <c r="D162" s="1434" t="s">
        <v>1198</v>
      </c>
      <c r="E162" s="712" t="s">
        <v>1209</v>
      </c>
      <c r="F162" s="716" t="s">
        <v>1193</v>
      </c>
      <c r="G162" s="714">
        <v>0</v>
      </c>
      <c r="H162" s="1353">
        <f>IF(F164="Y",G164,IF(F163="Y",G163,IF(F162="Y",G162,0)))</f>
        <v>0</v>
      </c>
      <c r="I162" s="1423" t="s">
        <v>1206</v>
      </c>
      <c r="J162" s="1424"/>
      <c r="K162" s="1425"/>
      <c r="L162" s="1363" t="s">
        <v>1210</v>
      </c>
      <c r="M162" s="1364"/>
      <c r="N162" s="708"/>
      <c r="O162" s="715"/>
      <c r="P162" s="709"/>
      <c r="Q162" s="710"/>
    </row>
    <row r="163" spans="1:17" s="711" customFormat="1">
      <c r="A163" s="1390"/>
      <c r="B163" s="1391"/>
      <c r="C163" s="1435"/>
      <c r="D163" s="1435"/>
      <c r="E163" s="712" t="s">
        <v>1211</v>
      </c>
      <c r="F163" s="716" t="s">
        <v>1020</v>
      </c>
      <c r="G163" s="714">
        <v>0.5</v>
      </c>
      <c r="H163" s="1353"/>
      <c r="I163" s="1426"/>
      <c r="J163" s="1427"/>
      <c r="K163" s="1428"/>
      <c r="L163" s="1365"/>
      <c r="M163" s="1366"/>
      <c r="N163" s="708"/>
      <c r="O163" s="715"/>
      <c r="P163" s="709"/>
      <c r="Q163" s="710"/>
    </row>
    <row r="164" spans="1:17" s="711" customFormat="1">
      <c r="A164" s="1390"/>
      <c r="B164" s="1391"/>
      <c r="C164" s="1436"/>
      <c r="D164" s="1436"/>
      <c r="E164" s="712" t="s">
        <v>1212</v>
      </c>
      <c r="F164" s="716" t="s">
        <v>1020</v>
      </c>
      <c r="G164" s="714">
        <v>1</v>
      </c>
      <c r="H164" s="1353"/>
      <c r="I164" s="1429"/>
      <c r="J164" s="1430"/>
      <c r="K164" s="1431"/>
      <c r="L164" s="1367"/>
      <c r="M164" s="1368"/>
      <c r="N164" s="708"/>
      <c r="O164" s="715"/>
      <c r="P164" s="709"/>
      <c r="Q164" s="710"/>
    </row>
    <row r="165" spans="1:17" s="711" customFormat="1">
      <c r="A165" s="1390"/>
      <c r="B165" s="1391"/>
      <c r="C165" s="1434" t="s">
        <v>1213</v>
      </c>
      <c r="D165" s="1432" t="s">
        <v>1214</v>
      </c>
      <c r="E165" s="712" t="s">
        <v>1215</v>
      </c>
      <c r="F165" s="716" t="s">
        <v>1020</v>
      </c>
      <c r="G165" s="714">
        <v>0</v>
      </c>
      <c r="H165" s="1353">
        <f>IF(F167="Y",G167,IF(F166="Y",G166,IF(F165="Y",G165,0)))</f>
        <v>0</v>
      </c>
      <c r="I165" s="1239" t="s">
        <v>1216</v>
      </c>
      <c r="J165" s="1239"/>
      <c r="K165" s="1239"/>
      <c r="L165" s="1454" t="s">
        <v>1217</v>
      </c>
      <c r="M165" s="1454"/>
      <c r="N165" s="708"/>
      <c r="O165" s="715"/>
      <c r="P165" s="709"/>
      <c r="Q165" s="710"/>
    </row>
    <row r="166" spans="1:17" s="711" customFormat="1">
      <c r="A166" s="1390"/>
      <c r="B166" s="1391"/>
      <c r="C166" s="1435"/>
      <c r="D166" s="1432"/>
      <c r="E166" s="712" t="s">
        <v>1218</v>
      </c>
      <c r="F166" s="716" t="s">
        <v>1020</v>
      </c>
      <c r="G166" s="714">
        <v>0.3</v>
      </c>
      <c r="H166" s="1353"/>
      <c r="I166" s="1239"/>
      <c r="J166" s="1239"/>
      <c r="K166" s="1239"/>
      <c r="L166" s="1454"/>
      <c r="M166" s="1454"/>
      <c r="N166" s="708"/>
      <c r="O166" s="715"/>
      <c r="P166" s="709"/>
      <c r="Q166" s="710"/>
    </row>
    <row r="167" spans="1:17" s="711" customFormat="1">
      <c r="A167" s="1390"/>
      <c r="B167" s="1391"/>
      <c r="C167" s="1435"/>
      <c r="D167" s="1432"/>
      <c r="E167" s="712" t="s">
        <v>1219</v>
      </c>
      <c r="F167" s="716" t="s">
        <v>1020</v>
      </c>
      <c r="G167" s="714">
        <v>0.8</v>
      </c>
      <c r="H167" s="1353"/>
      <c r="I167" s="1239"/>
      <c r="J167" s="1239"/>
      <c r="K167" s="1239"/>
      <c r="L167" s="1454"/>
      <c r="M167" s="1454"/>
      <c r="N167" s="708"/>
      <c r="O167" s="715"/>
      <c r="P167" s="709"/>
      <c r="Q167" s="710"/>
    </row>
    <row r="168" spans="1:17" s="711" customFormat="1">
      <c r="A168" s="1390"/>
      <c r="B168" s="1391"/>
      <c r="C168" s="1435"/>
      <c r="D168" s="1434" t="s">
        <v>1220</v>
      </c>
      <c r="E168" s="712" t="s">
        <v>1221</v>
      </c>
      <c r="F168" s="716"/>
      <c r="G168" s="714">
        <v>0</v>
      </c>
      <c r="H168" s="1353">
        <f>IF(F170="Y",G170,IF(F169="Y",G169,IF(F168="Y",G168,0)))</f>
        <v>0</v>
      </c>
      <c r="I168" s="1239" t="s">
        <v>1216</v>
      </c>
      <c r="J168" s="1239"/>
      <c r="K168" s="1239"/>
      <c r="L168" s="1454" t="s">
        <v>1222</v>
      </c>
      <c r="M168" s="1454"/>
      <c r="N168" s="708"/>
      <c r="O168" s="715"/>
      <c r="P168" s="709"/>
      <c r="Q168" s="710"/>
    </row>
    <row r="169" spans="1:17" s="711" customFormat="1">
      <c r="A169" s="1390"/>
      <c r="B169" s="1391"/>
      <c r="C169" s="1435"/>
      <c r="D169" s="1435"/>
      <c r="E169" s="712" t="s">
        <v>1223</v>
      </c>
      <c r="F169" s="716" t="s">
        <v>1020</v>
      </c>
      <c r="G169" s="714">
        <v>0.2</v>
      </c>
      <c r="H169" s="1353"/>
      <c r="I169" s="1239"/>
      <c r="J169" s="1239"/>
      <c r="K169" s="1239"/>
      <c r="L169" s="1454"/>
      <c r="M169" s="1454"/>
      <c r="N169" s="708"/>
      <c r="O169" s="715"/>
      <c r="P169" s="709"/>
      <c r="Q169" s="710"/>
    </row>
    <row r="170" spans="1:17" s="711" customFormat="1">
      <c r="A170" s="1390"/>
      <c r="B170" s="1391"/>
      <c r="C170" s="1436"/>
      <c r="D170" s="1436"/>
      <c r="E170" s="712" t="s">
        <v>1211</v>
      </c>
      <c r="F170" s="716" t="s">
        <v>1020</v>
      </c>
      <c r="G170" s="714">
        <v>0.5</v>
      </c>
      <c r="H170" s="1353"/>
      <c r="I170" s="1239"/>
      <c r="J170" s="1239"/>
      <c r="K170" s="1239"/>
      <c r="L170" s="1454"/>
      <c r="M170" s="1454"/>
      <c r="N170" s="708"/>
      <c r="O170" s="715"/>
      <c r="P170" s="709"/>
      <c r="Q170" s="710"/>
    </row>
    <row r="171" spans="1:17" s="711" customFormat="1">
      <c r="A171" s="1390"/>
      <c r="B171" s="1391"/>
      <c r="C171" s="1434" t="s">
        <v>1224</v>
      </c>
      <c r="D171" s="1434" t="s">
        <v>1225</v>
      </c>
      <c r="E171" s="712" t="s">
        <v>1073</v>
      </c>
      <c r="F171" s="716"/>
      <c r="G171" s="714">
        <v>0</v>
      </c>
      <c r="H171" s="1353">
        <f>IF(F171="Y",G171,IF(F172="Y",G172,))+IF(F173="Y",G173,)</f>
        <v>0</v>
      </c>
      <c r="I171" s="1239" t="s">
        <v>1226</v>
      </c>
      <c r="J171" s="1239"/>
      <c r="K171" s="1239"/>
      <c r="L171" s="1455" t="s">
        <v>1227</v>
      </c>
      <c r="M171" s="1456"/>
      <c r="N171" s="708"/>
      <c r="O171" s="715"/>
      <c r="P171" s="709"/>
      <c r="Q171" s="710"/>
    </row>
    <row r="172" spans="1:17" s="711" customFormat="1">
      <c r="A172" s="1390"/>
      <c r="B172" s="1391"/>
      <c r="C172" s="1435"/>
      <c r="D172" s="1435"/>
      <c r="E172" s="712" t="s">
        <v>48</v>
      </c>
      <c r="F172" s="716" t="s">
        <v>1020</v>
      </c>
      <c r="G172" s="714">
        <v>0.3</v>
      </c>
      <c r="H172" s="1353"/>
      <c r="I172" s="1239"/>
      <c r="J172" s="1239"/>
      <c r="K172" s="1239"/>
      <c r="L172" s="1457"/>
      <c r="M172" s="1458"/>
      <c r="N172" s="708"/>
      <c r="O172" s="715"/>
      <c r="P172" s="709"/>
      <c r="Q172" s="710"/>
    </row>
    <row r="173" spans="1:17" s="711" customFormat="1">
      <c r="A173" s="1390"/>
      <c r="B173" s="1391"/>
      <c r="C173" s="1435"/>
      <c r="D173" s="1436"/>
      <c r="E173" s="712" t="s">
        <v>1228</v>
      </c>
      <c r="F173" s="716"/>
      <c r="G173" s="714">
        <v>0.5</v>
      </c>
      <c r="H173" s="1353"/>
      <c r="I173" s="1239"/>
      <c r="J173" s="1239"/>
      <c r="K173" s="1239"/>
      <c r="L173" s="717" t="s">
        <v>1229</v>
      </c>
      <c r="M173" s="718"/>
      <c r="N173" s="708"/>
      <c r="O173" s="715"/>
      <c r="P173" s="709"/>
      <c r="Q173" s="710"/>
    </row>
    <row r="174" spans="1:17" s="711" customFormat="1">
      <c r="A174" s="1390"/>
      <c r="B174" s="1391"/>
      <c r="C174" s="1435"/>
      <c r="D174" s="1432" t="s">
        <v>1230</v>
      </c>
      <c r="E174" s="712" t="s">
        <v>1215</v>
      </c>
      <c r="F174" s="713" t="s">
        <v>1020</v>
      </c>
      <c r="G174" s="714">
        <v>0</v>
      </c>
      <c r="H174" s="1353">
        <f>IF(F174="Y",G174,IF(F175="Y",G175,IF(F176="Y",G176,0)))</f>
        <v>0</v>
      </c>
      <c r="I174" s="1423" t="s">
        <v>1226</v>
      </c>
      <c r="J174" s="1424"/>
      <c r="K174" s="1425"/>
      <c r="L174" s="1459"/>
      <c r="M174" s="1460"/>
      <c r="N174" s="708"/>
      <c r="O174" s="709"/>
      <c r="P174" s="709"/>
      <c r="Q174" s="710"/>
    </row>
    <row r="175" spans="1:17" s="711" customFormat="1">
      <c r="A175" s="1390"/>
      <c r="B175" s="1391"/>
      <c r="C175" s="1435"/>
      <c r="D175" s="1432"/>
      <c r="E175" s="712" t="s">
        <v>1218</v>
      </c>
      <c r="F175" s="713" t="s">
        <v>1020</v>
      </c>
      <c r="G175" s="714">
        <v>0.3</v>
      </c>
      <c r="H175" s="1353"/>
      <c r="I175" s="1426"/>
      <c r="J175" s="1427"/>
      <c r="K175" s="1428"/>
      <c r="L175" s="1461"/>
      <c r="M175" s="1462"/>
      <c r="N175" s="708"/>
      <c r="O175" s="709"/>
      <c r="P175" s="709"/>
      <c r="Q175" s="710"/>
    </row>
    <row r="176" spans="1:17" s="711" customFormat="1">
      <c r="A176" s="1390"/>
      <c r="B176" s="1391"/>
      <c r="C176" s="1435"/>
      <c r="D176" s="1432"/>
      <c r="E176" s="712" t="s">
        <v>1196</v>
      </c>
      <c r="F176" s="713" t="s">
        <v>1020</v>
      </c>
      <c r="G176" s="714">
        <v>1</v>
      </c>
      <c r="H176" s="1353"/>
      <c r="I176" s="1429"/>
      <c r="J176" s="1430"/>
      <c r="K176" s="1431"/>
      <c r="L176" s="1463"/>
      <c r="M176" s="1464"/>
      <c r="N176" s="708"/>
      <c r="O176" s="715"/>
      <c r="P176" s="709"/>
      <c r="Q176" s="710"/>
    </row>
    <row r="177" spans="1:17" s="711" customFormat="1">
      <c r="A177" s="1390"/>
      <c r="B177" s="1391"/>
      <c r="C177" s="1435"/>
      <c r="D177" s="1434" t="s">
        <v>1220</v>
      </c>
      <c r="E177" s="712" t="s">
        <v>1221</v>
      </c>
      <c r="F177" s="713" t="s">
        <v>1020</v>
      </c>
      <c r="G177" s="714">
        <v>0</v>
      </c>
      <c r="H177" s="1353">
        <f>IF(F179="Y",G179,IF(F178="Y",G178,IF(F177="Y",G177,0)))</f>
        <v>0</v>
      </c>
      <c r="I177" s="1423" t="s">
        <v>1226</v>
      </c>
      <c r="J177" s="1424"/>
      <c r="K177" s="1425"/>
      <c r="L177" s="1450" t="s">
        <v>1227</v>
      </c>
      <c r="M177" s="1451"/>
      <c r="N177" s="708"/>
      <c r="O177" s="709"/>
      <c r="P177" s="709"/>
      <c r="Q177" s="710"/>
    </row>
    <row r="178" spans="1:17" s="711" customFormat="1">
      <c r="A178" s="1390"/>
      <c r="B178" s="1391"/>
      <c r="C178" s="1435"/>
      <c r="D178" s="1435"/>
      <c r="E178" s="712" t="s">
        <v>1223</v>
      </c>
      <c r="F178" s="713" t="s">
        <v>1020</v>
      </c>
      <c r="G178" s="714">
        <v>0.2</v>
      </c>
      <c r="H178" s="1353"/>
      <c r="I178" s="1426"/>
      <c r="J178" s="1427"/>
      <c r="K178" s="1428"/>
      <c r="L178" s="1452"/>
      <c r="M178" s="1453"/>
      <c r="N178" s="708"/>
      <c r="O178" s="709"/>
      <c r="P178" s="709"/>
      <c r="Q178" s="710"/>
    </row>
    <row r="179" spans="1:17" s="711" customFormat="1">
      <c r="A179" s="1390"/>
      <c r="B179" s="1391"/>
      <c r="C179" s="1436"/>
      <c r="D179" s="1436"/>
      <c r="E179" s="712" t="s">
        <v>1211</v>
      </c>
      <c r="F179" s="713" t="s">
        <v>1020</v>
      </c>
      <c r="G179" s="714">
        <v>0.5</v>
      </c>
      <c r="H179" s="1353"/>
      <c r="I179" s="1429"/>
      <c r="J179" s="1430"/>
      <c r="K179" s="1431"/>
      <c r="L179" s="719" t="s">
        <v>1229</v>
      </c>
      <c r="M179" s="720"/>
      <c r="N179" s="708"/>
      <c r="O179" s="715"/>
      <c r="P179" s="709"/>
      <c r="Q179" s="710"/>
    </row>
    <row r="180" spans="1:17" s="711" customFormat="1">
      <c r="A180" s="1390"/>
      <c r="B180" s="1391"/>
      <c r="C180" s="1432" t="s">
        <v>1231</v>
      </c>
      <c r="D180" s="1432" t="s">
        <v>1232</v>
      </c>
      <c r="E180" s="712" t="s">
        <v>1233</v>
      </c>
      <c r="F180" s="713" t="s">
        <v>1193</v>
      </c>
      <c r="G180" s="714">
        <v>0</v>
      </c>
      <c r="H180" s="1353">
        <f>IF(F182="Y",G182,IF(F181="Y",G181,IF(F180="Y",G180,0)))</f>
        <v>0</v>
      </c>
      <c r="I180" s="1423" t="s">
        <v>1234</v>
      </c>
      <c r="J180" s="1424"/>
      <c r="K180" s="1425"/>
      <c r="L180" s="1363" t="s">
        <v>1235</v>
      </c>
      <c r="M180" s="1364"/>
      <c r="N180" s="708"/>
      <c r="O180" s="709"/>
      <c r="P180" s="709"/>
      <c r="Q180" s="710"/>
    </row>
    <row r="181" spans="1:17" s="711" customFormat="1">
      <c r="A181" s="1390"/>
      <c r="B181" s="1391"/>
      <c r="C181" s="1432"/>
      <c r="D181" s="1432"/>
      <c r="E181" s="712" t="s">
        <v>1236</v>
      </c>
      <c r="F181" s="713" t="s">
        <v>1020</v>
      </c>
      <c r="G181" s="714">
        <v>0.2</v>
      </c>
      <c r="H181" s="1353"/>
      <c r="I181" s="1426"/>
      <c r="J181" s="1427"/>
      <c r="K181" s="1428"/>
      <c r="L181" s="1367"/>
      <c r="M181" s="1368"/>
      <c r="N181" s="708"/>
      <c r="O181" s="709"/>
      <c r="P181" s="709"/>
      <c r="Q181" s="710"/>
    </row>
    <row r="182" spans="1:17" s="711" customFormat="1">
      <c r="A182" s="1390"/>
      <c r="B182" s="1391"/>
      <c r="C182" s="1432"/>
      <c r="D182" s="1432"/>
      <c r="E182" s="712"/>
      <c r="F182" s="713"/>
      <c r="G182" s="714"/>
      <c r="H182" s="1353"/>
      <c r="I182" s="1429"/>
      <c r="J182" s="1430"/>
      <c r="K182" s="1431"/>
      <c r="L182" s="717"/>
      <c r="M182" s="718"/>
      <c r="N182" s="708"/>
      <c r="O182" s="715"/>
      <c r="P182" s="709"/>
      <c r="Q182" s="710"/>
    </row>
    <row r="183" spans="1:17" s="711" customFormat="1">
      <c r="A183" s="1390"/>
      <c r="B183" s="1391"/>
      <c r="C183" s="1434" t="s">
        <v>1237</v>
      </c>
      <c r="D183" s="1432" t="s">
        <v>1230</v>
      </c>
      <c r="E183" s="712" t="s">
        <v>1215</v>
      </c>
      <c r="F183" s="712" t="s">
        <v>1020</v>
      </c>
      <c r="G183" s="721">
        <v>0</v>
      </c>
      <c r="H183" s="1353">
        <f>IF(F185="Y",G185,IF(F184="Y",G184,IF(F183="Y",G183,0)))</f>
        <v>0</v>
      </c>
      <c r="I183" s="1423" t="s">
        <v>1238</v>
      </c>
      <c r="J183" s="1424"/>
      <c r="K183" s="1425"/>
      <c r="L183" s="1363" t="s">
        <v>1239</v>
      </c>
      <c r="M183" s="1364"/>
      <c r="N183" s="708"/>
      <c r="O183" s="709"/>
      <c r="P183" s="709"/>
      <c r="Q183" s="710"/>
    </row>
    <row r="184" spans="1:17" s="711" customFormat="1">
      <c r="A184" s="1390"/>
      <c r="B184" s="1391"/>
      <c r="C184" s="1435"/>
      <c r="D184" s="1432"/>
      <c r="E184" s="712" t="s">
        <v>1218</v>
      </c>
      <c r="F184" s="712" t="s">
        <v>1020</v>
      </c>
      <c r="G184" s="721">
        <v>0.2</v>
      </c>
      <c r="H184" s="1353"/>
      <c r="I184" s="1426"/>
      <c r="J184" s="1427"/>
      <c r="K184" s="1428"/>
      <c r="L184" s="1365"/>
      <c r="M184" s="1366"/>
      <c r="N184" s="708"/>
      <c r="O184" s="709"/>
      <c r="P184" s="709"/>
      <c r="Q184" s="710"/>
    </row>
    <row r="185" spans="1:17" s="711" customFormat="1">
      <c r="A185" s="1390"/>
      <c r="B185" s="1391"/>
      <c r="C185" s="1435"/>
      <c r="D185" s="1432"/>
      <c r="E185" s="712" t="s">
        <v>1196</v>
      </c>
      <c r="F185" s="712" t="s">
        <v>1020</v>
      </c>
      <c r="G185" s="721">
        <v>0.5</v>
      </c>
      <c r="H185" s="1353"/>
      <c r="I185" s="1429"/>
      <c r="J185" s="1430"/>
      <c r="K185" s="1431"/>
      <c r="L185" s="1367"/>
      <c r="M185" s="1368"/>
      <c r="N185" s="708"/>
      <c r="O185" s="715"/>
      <c r="P185" s="709"/>
      <c r="Q185" s="710"/>
    </row>
    <row r="186" spans="1:17" s="724" customFormat="1">
      <c r="A186" s="1390"/>
      <c r="B186" s="1391"/>
      <c r="C186" s="1435"/>
      <c r="D186" s="1434" t="s">
        <v>1220</v>
      </c>
      <c r="E186" s="712" t="s">
        <v>1221</v>
      </c>
      <c r="F186" s="713" t="s">
        <v>1020</v>
      </c>
      <c r="G186" s="721">
        <v>0</v>
      </c>
      <c r="H186" s="1433">
        <f>IF(F186="Y",G186,IF(F187="Y",G187,IF(F188="Y",G188,)))</f>
        <v>0</v>
      </c>
      <c r="I186" s="1437" t="s">
        <v>1240</v>
      </c>
      <c r="J186" s="1438"/>
      <c r="K186" s="1439"/>
      <c r="L186" s="1443" t="s">
        <v>1240</v>
      </c>
      <c r="M186" s="1443"/>
      <c r="N186" s="722"/>
      <c r="O186" s="723"/>
    </row>
    <row r="187" spans="1:17" s="724" customFormat="1">
      <c r="A187" s="1390"/>
      <c r="B187" s="1391"/>
      <c r="C187" s="1435"/>
      <c r="D187" s="1435"/>
      <c r="E187" s="712" t="s">
        <v>1223</v>
      </c>
      <c r="F187" s="713" t="s">
        <v>1020</v>
      </c>
      <c r="G187" s="721">
        <v>0.2</v>
      </c>
      <c r="H187" s="1433"/>
      <c r="I187" s="1440"/>
      <c r="J187" s="1441"/>
      <c r="K187" s="1442"/>
      <c r="L187" s="1443"/>
      <c r="M187" s="1443"/>
      <c r="N187" s="722"/>
      <c r="O187" s="723"/>
    </row>
    <row r="188" spans="1:17" s="724" customFormat="1">
      <c r="A188" s="1390"/>
      <c r="B188" s="1391"/>
      <c r="C188" s="1435"/>
      <c r="D188" s="1436"/>
      <c r="E188" s="712" t="s">
        <v>1211</v>
      </c>
      <c r="F188" s="713" t="s">
        <v>1020</v>
      </c>
      <c r="G188" s="721">
        <v>0.5</v>
      </c>
      <c r="H188" s="1433"/>
      <c r="I188" s="1440"/>
      <c r="J188" s="1441"/>
      <c r="K188" s="1442"/>
      <c r="L188" s="1443"/>
      <c r="M188" s="1443"/>
      <c r="N188" s="722"/>
      <c r="O188" s="723"/>
    </row>
    <row r="189" spans="1:17" s="724" customFormat="1">
      <c r="A189" s="1390"/>
      <c r="B189" s="1391"/>
      <c r="C189" s="1435"/>
      <c r="D189" s="1434" t="s">
        <v>1241</v>
      </c>
      <c r="E189" s="712" t="s">
        <v>1242</v>
      </c>
      <c r="F189" s="713" t="s">
        <v>1020</v>
      </c>
      <c r="G189" s="721">
        <v>0</v>
      </c>
      <c r="H189" s="1444">
        <f>IF(F189="Y",G189,IF(F190="Y",G190,IF(F191="Y",G191,IF(F192="Y",G192,))))</f>
        <v>0</v>
      </c>
      <c r="I189" s="1437" t="s">
        <v>1240</v>
      </c>
      <c r="J189" s="1438"/>
      <c r="K189" s="1439"/>
      <c r="L189" s="725"/>
      <c r="M189" s="726"/>
      <c r="N189" s="722"/>
      <c r="O189" s="723"/>
    </row>
    <row r="190" spans="1:17" s="724" customFormat="1">
      <c r="A190" s="1390"/>
      <c r="B190" s="1391"/>
      <c r="C190" s="1435"/>
      <c r="D190" s="1435"/>
      <c r="E190" s="712" t="s">
        <v>1243</v>
      </c>
      <c r="F190" s="713" t="s">
        <v>1020</v>
      </c>
      <c r="G190" s="721">
        <v>0.1</v>
      </c>
      <c r="H190" s="1445"/>
      <c r="I190" s="1440"/>
      <c r="J190" s="1441"/>
      <c r="K190" s="1442"/>
      <c r="L190" s="725"/>
      <c r="M190" s="726"/>
      <c r="N190" s="722"/>
      <c r="O190" s="723"/>
    </row>
    <row r="191" spans="1:17" s="724" customFormat="1">
      <c r="A191" s="1390"/>
      <c r="B191" s="1391"/>
      <c r="C191" s="1435"/>
      <c r="D191" s="1435"/>
      <c r="E191" s="712" t="s">
        <v>1244</v>
      </c>
      <c r="F191" s="713" t="s">
        <v>1020</v>
      </c>
      <c r="G191" s="721">
        <v>0.2</v>
      </c>
      <c r="H191" s="1445"/>
      <c r="I191" s="1440"/>
      <c r="J191" s="1441"/>
      <c r="K191" s="1442"/>
      <c r="L191" s="725"/>
      <c r="M191" s="726"/>
      <c r="N191" s="722"/>
      <c r="O191" s="723"/>
    </row>
    <row r="192" spans="1:17" s="724" customFormat="1">
      <c r="A192" s="1390"/>
      <c r="B192" s="1391"/>
      <c r="C192" s="1435"/>
      <c r="D192" s="1436"/>
      <c r="E192" s="712" t="s">
        <v>1245</v>
      </c>
      <c r="F192" s="713" t="s">
        <v>1020</v>
      </c>
      <c r="G192" s="714">
        <v>0.5</v>
      </c>
      <c r="H192" s="1446"/>
      <c r="I192" s="1447"/>
      <c r="J192" s="1448"/>
      <c r="K192" s="1449"/>
      <c r="L192" s="725"/>
      <c r="M192" s="726"/>
      <c r="N192" s="722"/>
      <c r="O192" s="723"/>
    </row>
    <row r="193" spans="1:17" s="724" customFormat="1">
      <c r="A193" s="1390"/>
      <c r="B193" s="1391"/>
      <c r="C193" s="1432" t="s">
        <v>1246</v>
      </c>
      <c r="D193" s="1432" t="s">
        <v>1230</v>
      </c>
      <c r="E193" s="712" t="s">
        <v>1215</v>
      </c>
      <c r="F193" s="713" t="s">
        <v>1193</v>
      </c>
      <c r="G193" s="714">
        <v>0</v>
      </c>
      <c r="H193" s="1433">
        <f>IF(F193="Y",G193,IF(F194="Y",G194,IF(F195="Y",G195,)))</f>
        <v>0</v>
      </c>
      <c r="I193" s="1423" t="s">
        <v>1247</v>
      </c>
      <c r="J193" s="1424"/>
      <c r="K193" s="1425"/>
      <c r="L193" s="1363" t="s">
        <v>1248</v>
      </c>
      <c r="M193" s="1364"/>
      <c r="N193" s="722"/>
      <c r="O193" s="723"/>
    </row>
    <row r="194" spans="1:17" s="724" customFormat="1">
      <c r="A194" s="1390"/>
      <c r="B194" s="1391"/>
      <c r="C194" s="1432"/>
      <c r="D194" s="1432"/>
      <c r="E194" s="712" t="s">
        <v>1218</v>
      </c>
      <c r="F194" s="713" t="s">
        <v>1020</v>
      </c>
      <c r="G194" s="714">
        <v>0.3</v>
      </c>
      <c r="H194" s="1433"/>
      <c r="I194" s="1426"/>
      <c r="J194" s="1427"/>
      <c r="K194" s="1428"/>
      <c r="L194" s="1365"/>
      <c r="M194" s="1366"/>
      <c r="N194" s="722"/>
      <c r="O194" s="723"/>
    </row>
    <row r="195" spans="1:17" s="724" customFormat="1">
      <c r="A195" s="1390"/>
      <c r="B195" s="1391"/>
      <c r="C195" s="1432"/>
      <c r="D195" s="1432"/>
      <c r="E195" s="712" t="s">
        <v>1196</v>
      </c>
      <c r="F195" s="713" t="s">
        <v>1020</v>
      </c>
      <c r="G195" s="714">
        <v>0.5</v>
      </c>
      <c r="H195" s="1433"/>
      <c r="I195" s="1429"/>
      <c r="J195" s="1430"/>
      <c r="K195" s="1431"/>
      <c r="L195" s="1367"/>
      <c r="M195" s="1368"/>
      <c r="N195" s="722"/>
      <c r="O195" s="723"/>
    </row>
    <row r="196" spans="1:17" s="711" customFormat="1">
      <c r="A196" s="1390"/>
      <c r="B196" s="1391"/>
      <c r="C196" s="1432"/>
      <c r="D196" s="1434" t="s">
        <v>1220</v>
      </c>
      <c r="E196" s="712" t="s">
        <v>1221</v>
      </c>
      <c r="F196" s="713" t="s">
        <v>1020</v>
      </c>
      <c r="G196" s="727">
        <v>0</v>
      </c>
      <c r="H196" s="1322">
        <f>IF(F198="Y",G198,IF(F197="Y",G197,IF(F196="Y",G196,0)))</f>
        <v>0</v>
      </c>
      <c r="I196" s="1416" t="s">
        <v>1249</v>
      </c>
      <c r="J196" s="1417"/>
      <c r="K196" s="1418"/>
      <c r="L196" s="1363" t="s">
        <v>1250</v>
      </c>
      <c r="M196" s="1364"/>
      <c r="N196" s="708"/>
      <c r="O196" s="709"/>
      <c r="P196" s="709"/>
      <c r="Q196" s="710"/>
    </row>
    <row r="197" spans="1:17" s="711" customFormat="1">
      <c r="A197" s="1390"/>
      <c r="B197" s="1391"/>
      <c r="C197" s="1432"/>
      <c r="D197" s="1435"/>
      <c r="E197" s="712" t="s">
        <v>1223</v>
      </c>
      <c r="F197" s="713" t="s">
        <v>1020</v>
      </c>
      <c r="G197" s="714">
        <v>0.3</v>
      </c>
      <c r="H197" s="1322"/>
      <c r="I197" s="1416" t="s">
        <v>1251</v>
      </c>
      <c r="J197" s="1417"/>
      <c r="K197" s="1418"/>
      <c r="L197" s="1365"/>
      <c r="M197" s="1366"/>
      <c r="N197" s="708"/>
      <c r="O197" s="709"/>
      <c r="P197" s="709"/>
      <c r="Q197" s="710"/>
    </row>
    <row r="198" spans="1:17" s="711" customFormat="1">
      <c r="A198" s="1390"/>
      <c r="B198" s="1391"/>
      <c r="C198" s="1432"/>
      <c r="D198" s="1435"/>
      <c r="E198" s="712" t="s">
        <v>1211</v>
      </c>
      <c r="F198" s="713" t="s">
        <v>1020</v>
      </c>
      <c r="G198" s="714">
        <v>0.5</v>
      </c>
      <c r="H198" s="1322"/>
      <c r="I198" s="1416" t="s">
        <v>1252</v>
      </c>
      <c r="J198" s="1417"/>
      <c r="K198" s="1418"/>
      <c r="L198" s="1365"/>
      <c r="M198" s="1366"/>
      <c r="N198" s="708"/>
      <c r="O198" s="715"/>
      <c r="P198" s="709"/>
      <c r="Q198" s="710"/>
    </row>
    <row r="199" spans="1:17" s="711" customFormat="1">
      <c r="A199" s="1386" t="s">
        <v>1253</v>
      </c>
      <c r="B199" s="1386"/>
      <c r="C199" s="1320" t="s">
        <v>1254</v>
      </c>
      <c r="D199" s="1419" t="s">
        <v>1255</v>
      </c>
      <c r="E199" s="1419"/>
      <c r="F199" s="713" t="s">
        <v>1020</v>
      </c>
      <c r="G199" s="727">
        <v>0.2</v>
      </c>
      <c r="H199" s="1322">
        <f>IF(F202="Y",G202,IF(F201="Y",G201,IF(F200="Y",G200,IF(F199="Y",G199,0))))</f>
        <v>0</v>
      </c>
      <c r="I199" s="1420"/>
      <c r="J199" s="1421"/>
      <c r="K199" s="1422"/>
      <c r="L199" s="1363" t="s">
        <v>1256</v>
      </c>
      <c r="M199" s="1364"/>
      <c r="N199" s="708"/>
      <c r="O199" s="709"/>
      <c r="P199" s="709"/>
      <c r="Q199" s="710"/>
    </row>
    <row r="200" spans="1:17" s="711" customFormat="1">
      <c r="A200" s="1386"/>
      <c r="B200" s="1386"/>
      <c r="C200" s="1320"/>
      <c r="D200" s="1419" t="s">
        <v>1257</v>
      </c>
      <c r="E200" s="1419"/>
      <c r="F200" s="713" t="s">
        <v>1193</v>
      </c>
      <c r="G200" s="727">
        <v>0</v>
      </c>
      <c r="H200" s="1322"/>
      <c r="I200" s="1420"/>
      <c r="J200" s="1421"/>
      <c r="K200" s="1422"/>
      <c r="L200" s="1365"/>
      <c r="M200" s="1366"/>
      <c r="N200" s="708"/>
      <c r="O200" s="709"/>
      <c r="P200" s="709"/>
      <c r="Q200" s="710"/>
    </row>
    <row r="201" spans="1:17" s="711" customFormat="1">
      <c r="A201" s="1386"/>
      <c r="B201" s="1386"/>
      <c r="C201" s="1320"/>
      <c r="D201" s="1419" t="s">
        <v>1258</v>
      </c>
      <c r="E201" s="1419"/>
      <c r="F201" s="713" t="s">
        <v>1020</v>
      </c>
      <c r="G201" s="727">
        <v>0.5</v>
      </c>
      <c r="H201" s="1322"/>
      <c r="I201" s="1420"/>
      <c r="J201" s="1421"/>
      <c r="K201" s="1422"/>
      <c r="L201" s="1365"/>
      <c r="M201" s="1366"/>
      <c r="N201" s="708"/>
      <c r="O201" s="709"/>
      <c r="P201" s="709"/>
      <c r="Q201" s="710"/>
    </row>
    <row r="202" spans="1:17" s="711" customFormat="1">
      <c r="A202" s="1386"/>
      <c r="B202" s="1386"/>
      <c r="C202" s="1320"/>
      <c r="D202" s="1387" t="s">
        <v>1259</v>
      </c>
      <c r="E202" s="1387"/>
      <c r="F202" s="1387"/>
      <c r="G202" s="714"/>
      <c r="H202" s="1322"/>
      <c r="I202" s="1420" t="s">
        <v>1260</v>
      </c>
      <c r="J202" s="1421"/>
      <c r="K202" s="1422"/>
      <c r="L202" s="1367"/>
      <c r="M202" s="1368"/>
      <c r="N202" s="708"/>
      <c r="O202" s="709"/>
      <c r="P202" s="709"/>
      <c r="Q202" s="710"/>
    </row>
    <row r="203" spans="1:17" s="711" customFormat="1">
      <c r="A203" s="1386"/>
      <c r="B203" s="1386"/>
      <c r="C203" s="1320" t="s">
        <v>1261</v>
      </c>
      <c r="D203" s="1397" t="s">
        <v>1262</v>
      </c>
      <c r="E203" s="1398"/>
      <c r="F203" s="713" t="s">
        <v>1193</v>
      </c>
      <c r="G203" s="727">
        <v>0</v>
      </c>
      <c r="H203" s="1353">
        <f>IF(F205="Y",G205,IF(F204="Y",G204,IF(F203="Y",G203,0)))</f>
        <v>0</v>
      </c>
      <c r="I203" s="1423" t="s">
        <v>1263</v>
      </c>
      <c r="J203" s="1424"/>
      <c r="K203" s="1425"/>
      <c r="L203" s="1363" t="s">
        <v>1264</v>
      </c>
      <c r="M203" s="1364"/>
      <c r="N203" s="708"/>
      <c r="O203" s="715"/>
      <c r="P203" s="709"/>
      <c r="Q203" s="710"/>
    </row>
    <row r="204" spans="1:17" s="711" customFormat="1">
      <c r="A204" s="1386"/>
      <c r="B204" s="1386"/>
      <c r="C204" s="1320"/>
      <c r="D204" s="1397" t="s">
        <v>1265</v>
      </c>
      <c r="E204" s="1398"/>
      <c r="F204" s="713" t="s">
        <v>1020</v>
      </c>
      <c r="G204" s="727">
        <v>0.2</v>
      </c>
      <c r="H204" s="1353"/>
      <c r="I204" s="1426"/>
      <c r="J204" s="1427"/>
      <c r="K204" s="1428"/>
      <c r="L204" s="1365"/>
      <c r="M204" s="1366"/>
      <c r="N204" s="708"/>
      <c r="O204" s="709"/>
      <c r="P204" s="709"/>
      <c r="Q204" s="710"/>
    </row>
    <row r="205" spans="1:17" s="711" customFormat="1">
      <c r="A205" s="1386"/>
      <c r="B205" s="1386"/>
      <c r="C205" s="1320"/>
      <c r="D205" s="1397" t="s">
        <v>1266</v>
      </c>
      <c r="E205" s="1398"/>
      <c r="F205" s="713" t="s">
        <v>1020</v>
      </c>
      <c r="G205" s="727">
        <v>0.3</v>
      </c>
      <c r="H205" s="1353"/>
      <c r="I205" s="1429"/>
      <c r="J205" s="1430"/>
      <c r="K205" s="1431"/>
      <c r="L205" s="1367"/>
      <c r="M205" s="1368"/>
      <c r="N205" s="708"/>
      <c r="O205" s="709"/>
      <c r="P205" s="709"/>
      <c r="Q205" s="710"/>
    </row>
    <row r="206" spans="1:17" s="711" customFormat="1">
      <c r="A206" s="1386"/>
      <c r="B206" s="1386"/>
      <c r="C206" s="1320" t="s">
        <v>1267</v>
      </c>
      <c r="D206" s="1387" t="s">
        <v>1268</v>
      </c>
      <c r="E206" s="1387"/>
      <c r="F206" s="713" t="s">
        <v>1020</v>
      </c>
      <c r="G206" s="713">
        <v>0.2</v>
      </c>
      <c r="H206" s="1353">
        <f>IF(F206="Y",G206,IF(F207="Y",G207,0))</f>
        <v>0</v>
      </c>
      <c r="I206" s="1416" t="s">
        <v>1269</v>
      </c>
      <c r="J206" s="1417"/>
      <c r="K206" s="1418"/>
      <c r="L206" s="1363" t="s">
        <v>1270</v>
      </c>
      <c r="M206" s="1364"/>
      <c r="N206" s="708"/>
      <c r="O206" s="715"/>
      <c r="P206" s="709"/>
      <c r="Q206" s="710"/>
    </row>
    <row r="207" spans="1:17" s="711" customFormat="1">
      <c r="A207" s="1386"/>
      <c r="B207" s="1386"/>
      <c r="C207" s="1320"/>
      <c r="D207" s="1387" t="s">
        <v>1271</v>
      </c>
      <c r="E207" s="1387"/>
      <c r="F207" s="713" t="s">
        <v>1193</v>
      </c>
      <c r="G207" s="713">
        <v>0</v>
      </c>
      <c r="H207" s="1353"/>
      <c r="I207" s="1369"/>
      <c r="J207" s="1370"/>
      <c r="K207" s="1371"/>
      <c r="L207" s="1367"/>
      <c r="M207" s="1368"/>
      <c r="N207" s="708"/>
      <c r="O207" s="709"/>
      <c r="P207" s="709"/>
      <c r="Q207" s="710"/>
    </row>
    <row r="208" spans="1:17" s="711" customFormat="1">
      <c r="A208" s="1386"/>
      <c r="B208" s="1386"/>
      <c r="C208" s="1394" t="s">
        <v>1272</v>
      </c>
      <c r="D208" s="1397" t="s">
        <v>1273</v>
      </c>
      <c r="E208" s="1398"/>
      <c r="F208" s="716" t="s">
        <v>1020</v>
      </c>
      <c r="G208" s="713">
        <v>0.1</v>
      </c>
      <c r="H208" s="1353">
        <f>IF(F208="Y",G208,IF(F209="Y",G209,0))</f>
        <v>0</v>
      </c>
      <c r="I208" s="1399" t="s">
        <v>1274</v>
      </c>
      <c r="J208" s="1400"/>
      <c r="K208" s="1401"/>
      <c r="L208" s="1363" t="s">
        <v>1275</v>
      </c>
      <c r="M208" s="1364"/>
      <c r="N208" s="708"/>
      <c r="O208" s="709"/>
      <c r="P208" s="709"/>
      <c r="Q208" s="710"/>
    </row>
    <row r="209" spans="1:17" s="711" customFormat="1">
      <c r="A209" s="1386"/>
      <c r="B209" s="1386"/>
      <c r="C209" s="1396"/>
      <c r="D209" s="1397" t="s">
        <v>1276</v>
      </c>
      <c r="E209" s="1398"/>
      <c r="F209" s="716" t="s">
        <v>1020</v>
      </c>
      <c r="G209" s="713">
        <v>0.3</v>
      </c>
      <c r="H209" s="1353"/>
      <c r="I209" s="1405"/>
      <c r="J209" s="1406"/>
      <c r="K209" s="1407"/>
      <c r="L209" s="1365"/>
      <c r="M209" s="1366"/>
      <c r="N209" s="708"/>
      <c r="O209" s="709"/>
      <c r="P209" s="709"/>
      <c r="Q209" s="710"/>
    </row>
    <row r="210" spans="1:17" s="711" customFormat="1">
      <c r="A210" s="1390" t="s">
        <v>1277</v>
      </c>
      <c r="B210" s="1391"/>
      <c r="C210" s="728" t="s">
        <v>1278</v>
      </c>
      <c r="D210" s="1397" t="s">
        <v>1279</v>
      </c>
      <c r="E210" s="1398"/>
      <c r="F210" s="716" t="s">
        <v>1020</v>
      </c>
      <c r="G210" s="713"/>
      <c r="H210" s="729"/>
      <c r="I210" s="1399" t="s">
        <v>1280</v>
      </c>
      <c r="J210" s="1400"/>
      <c r="K210" s="1401"/>
      <c r="L210" s="1365" t="s">
        <v>1281</v>
      </c>
      <c r="M210" s="1366"/>
      <c r="N210" s="708"/>
      <c r="O210" s="709"/>
      <c r="P210" s="709"/>
      <c r="Q210" s="710"/>
    </row>
    <row r="211" spans="1:17" s="711" customFormat="1">
      <c r="A211" s="1408" t="s">
        <v>1282</v>
      </c>
      <c r="B211" s="1389"/>
      <c r="C211" s="728" t="s">
        <v>1283</v>
      </c>
      <c r="D211" s="1411" t="s">
        <v>1279</v>
      </c>
      <c r="E211" s="1412"/>
      <c r="F211" s="716" t="s">
        <v>1020</v>
      </c>
      <c r="G211" s="713"/>
      <c r="H211" s="729"/>
      <c r="I211" s="1413" t="s">
        <v>1284</v>
      </c>
      <c r="J211" s="1414"/>
      <c r="K211" s="1415"/>
      <c r="L211" s="1365" t="s">
        <v>1285</v>
      </c>
      <c r="M211" s="1366"/>
      <c r="N211" s="708"/>
      <c r="O211" s="709"/>
      <c r="P211" s="709"/>
      <c r="Q211" s="710"/>
    </row>
    <row r="212" spans="1:17" s="711" customFormat="1">
      <c r="A212" s="1409"/>
      <c r="B212" s="1391"/>
      <c r="C212" s="1394" t="s">
        <v>1286</v>
      </c>
      <c r="D212" s="1397" t="s">
        <v>1287</v>
      </c>
      <c r="E212" s="1398"/>
      <c r="F212" s="716" t="s">
        <v>1020</v>
      </c>
      <c r="G212" s="713">
        <v>0</v>
      </c>
      <c r="H212" s="1353">
        <f>IF(F214="Y",G214,IF(F213="Y",G213,IF(F212="Y",G212,0)))</f>
        <v>0</v>
      </c>
      <c r="I212" s="1399" t="s">
        <v>1288</v>
      </c>
      <c r="J212" s="1400"/>
      <c r="K212" s="1401"/>
      <c r="L212" s="1365" t="s">
        <v>1289</v>
      </c>
      <c r="M212" s="1366"/>
      <c r="N212" s="708"/>
      <c r="O212" s="709"/>
      <c r="P212" s="709"/>
      <c r="Q212" s="710"/>
    </row>
    <row r="213" spans="1:17" s="711" customFormat="1">
      <c r="A213" s="1409"/>
      <c r="B213" s="1391"/>
      <c r="C213" s="1395"/>
      <c r="D213" s="1397" t="s">
        <v>1290</v>
      </c>
      <c r="E213" s="1398"/>
      <c r="F213" s="716" t="s">
        <v>1020</v>
      </c>
      <c r="G213" s="713">
        <v>0.1</v>
      </c>
      <c r="H213" s="1353"/>
      <c r="I213" s="1402"/>
      <c r="J213" s="1403"/>
      <c r="K213" s="1404"/>
      <c r="L213" s="1365"/>
      <c r="M213" s="1366"/>
      <c r="N213" s="708"/>
      <c r="O213" s="709"/>
      <c r="P213" s="709"/>
      <c r="Q213" s="710"/>
    </row>
    <row r="214" spans="1:17" s="711" customFormat="1">
      <c r="A214" s="1409"/>
      <c r="B214" s="1391"/>
      <c r="C214" s="1396"/>
      <c r="D214" s="730" t="s">
        <v>1291</v>
      </c>
      <c r="E214" s="731"/>
      <c r="F214" s="716" t="s">
        <v>1020</v>
      </c>
      <c r="G214" s="713">
        <v>0.3</v>
      </c>
      <c r="H214" s="1353"/>
      <c r="I214" s="1405"/>
      <c r="J214" s="1406"/>
      <c r="K214" s="1407"/>
      <c r="L214" s="1365"/>
      <c r="M214" s="1366"/>
      <c r="N214" s="708"/>
      <c r="O214" s="709"/>
      <c r="P214" s="709"/>
      <c r="Q214" s="710"/>
    </row>
    <row r="215" spans="1:17" s="711" customFormat="1">
      <c r="A215" s="1409"/>
      <c r="B215" s="1391"/>
      <c r="C215" s="1394" t="s">
        <v>1292</v>
      </c>
      <c r="D215" s="1397" t="s">
        <v>1293</v>
      </c>
      <c r="E215" s="1398"/>
      <c r="F215" s="716" t="s">
        <v>1020</v>
      </c>
      <c r="G215" s="713">
        <v>0</v>
      </c>
      <c r="H215" s="1353">
        <f>IF(F217="Y",G217,IF(F216="Y",G216,IF(F215="Y",G215,0)))</f>
        <v>0</v>
      </c>
      <c r="I215" s="1399" t="s">
        <v>1294</v>
      </c>
      <c r="J215" s="1400"/>
      <c r="K215" s="1401"/>
      <c r="L215" s="1365" t="s">
        <v>1295</v>
      </c>
      <c r="M215" s="1366"/>
      <c r="N215" s="708"/>
      <c r="O215" s="709"/>
      <c r="P215" s="709"/>
      <c r="Q215" s="710"/>
    </row>
    <row r="216" spans="1:17" s="711" customFormat="1">
      <c r="A216" s="1409"/>
      <c r="B216" s="1391"/>
      <c r="C216" s="1395"/>
      <c r="D216" s="1397" t="s">
        <v>1296</v>
      </c>
      <c r="E216" s="1398"/>
      <c r="F216" s="716" t="s">
        <v>1020</v>
      </c>
      <c r="G216" s="713">
        <v>0.1</v>
      </c>
      <c r="H216" s="1353"/>
      <c r="I216" s="1402"/>
      <c r="J216" s="1403"/>
      <c r="K216" s="1404"/>
      <c r="L216" s="1365"/>
      <c r="M216" s="1366"/>
      <c r="N216" s="708"/>
      <c r="O216" s="709"/>
      <c r="P216" s="709"/>
      <c r="Q216" s="710"/>
    </row>
    <row r="217" spans="1:17" s="711" customFormat="1">
      <c r="A217" s="1410"/>
      <c r="B217" s="1393"/>
      <c r="C217" s="1396"/>
      <c r="D217" s="1397" t="s">
        <v>1297</v>
      </c>
      <c r="E217" s="1398"/>
      <c r="F217" s="716" t="s">
        <v>1020</v>
      </c>
      <c r="G217" s="713">
        <v>0.3</v>
      </c>
      <c r="H217" s="1353"/>
      <c r="I217" s="1405"/>
      <c r="J217" s="1406"/>
      <c r="K217" s="1407"/>
      <c r="L217" s="1365"/>
      <c r="M217" s="1366"/>
      <c r="N217" s="708"/>
      <c r="O217" s="709"/>
      <c r="P217" s="709"/>
      <c r="Q217" s="710"/>
    </row>
    <row r="218" spans="1:17" s="711" customFormat="1">
      <c r="A218" s="1388" t="s">
        <v>1298</v>
      </c>
      <c r="B218" s="1389"/>
      <c r="C218" s="1394" t="s">
        <v>1299</v>
      </c>
      <c r="D218" s="1397" t="s">
        <v>1300</v>
      </c>
      <c r="E218" s="1398"/>
      <c r="F218" s="716" t="s">
        <v>1020</v>
      </c>
      <c r="G218" s="713">
        <v>0</v>
      </c>
      <c r="H218" s="1322">
        <f>IF(F221="Y",G221,IF(F220="Y",G220,IF(F219="Y",G219,IF(F218="Y",G218,0))))</f>
        <v>0</v>
      </c>
      <c r="I218" s="1354" t="s">
        <v>1301</v>
      </c>
      <c r="J218" s="1355"/>
      <c r="K218" s="1356"/>
      <c r="L218" s="1365" t="s">
        <v>1302</v>
      </c>
      <c r="M218" s="1366"/>
      <c r="N218" s="708"/>
      <c r="O218" s="709"/>
      <c r="P218" s="709"/>
      <c r="Q218" s="710"/>
    </row>
    <row r="219" spans="1:17" s="711" customFormat="1">
      <c r="A219" s="1390"/>
      <c r="B219" s="1391"/>
      <c r="C219" s="1395"/>
      <c r="D219" s="1397" t="s">
        <v>1303</v>
      </c>
      <c r="E219" s="1398"/>
      <c r="F219" s="716" t="s">
        <v>1020</v>
      </c>
      <c r="G219" s="713">
        <v>0.2</v>
      </c>
      <c r="H219" s="1322"/>
      <c r="I219" s="1357"/>
      <c r="J219" s="1358"/>
      <c r="K219" s="1359"/>
      <c r="L219" s="1365"/>
      <c r="M219" s="1366"/>
      <c r="N219" s="708"/>
      <c r="O219" s="709"/>
      <c r="P219" s="709"/>
      <c r="Q219" s="710"/>
    </row>
    <row r="220" spans="1:17" s="711" customFormat="1">
      <c r="A220" s="1390"/>
      <c r="B220" s="1391"/>
      <c r="C220" s="1395"/>
      <c r="D220" s="1397" t="s">
        <v>1304</v>
      </c>
      <c r="E220" s="1398"/>
      <c r="F220" s="716" t="s">
        <v>1020</v>
      </c>
      <c r="G220" s="713">
        <v>0.3</v>
      </c>
      <c r="H220" s="1322"/>
      <c r="I220" s="1357"/>
      <c r="J220" s="1358"/>
      <c r="K220" s="1359"/>
      <c r="L220" s="1365"/>
      <c r="M220" s="1366"/>
      <c r="N220" s="708"/>
      <c r="O220" s="709"/>
      <c r="P220" s="709"/>
      <c r="Q220" s="710"/>
    </row>
    <row r="221" spans="1:17" s="711" customFormat="1">
      <c r="A221" s="1392"/>
      <c r="B221" s="1393"/>
      <c r="C221" s="1396"/>
      <c r="D221" s="1397" t="s">
        <v>1305</v>
      </c>
      <c r="E221" s="1398"/>
      <c r="F221" s="716" t="s">
        <v>1020</v>
      </c>
      <c r="G221" s="713">
        <v>0.4</v>
      </c>
      <c r="H221" s="1322"/>
      <c r="I221" s="1360"/>
      <c r="J221" s="1361"/>
      <c r="K221" s="1362"/>
      <c r="L221" s="1367"/>
      <c r="M221" s="1368"/>
      <c r="N221" s="708"/>
      <c r="O221" s="709"/>
      <c r="P221" s="709"/>
      <c r="Q221" s="710"/>
    </row>
    <row r="222" spans="1:17" s="711" customFormat="1">
      <c r="A222" s="1385" t="s">
        <v>1306</v>
      </c>
      <c r="B222" s="1386"/>
      <c r="C222" s="1320" t="s">
        <v>1307</v>
      </c>
      <c r="D222" s="1320" t="s">
        <v>1308</v>
      </c>
      <c r="E222" s="1320"/>
      <c r="F222" s="713" t="s">
        <v>1193</v>
      </c>
      <c r="G222" s="713">
        <v>0</v>
      </c>
      <c r="H222" s="1353">
        <f>IF(F224="Y",G224,IF(F223="Y",G223,IF(F222="Y",G222,0)))</f>
        <v>0</v>
      </c>
      <c r="I222" s="1354" t="s">
        <v>1309</v>
      </c>
      <c r="J222" s="1355"/>
      <c r="K222" s="1356"/>
      <c r="L222" s="1363" t="s">
        <v>1310</v>
      </c>
      <c r="M222" s="1364"/>
      <c r="N222" s="708"/>
      <c r="O222" s="709"/>
      <c r="P222" s="709"/>
      <c r="Q222" s="710"/>
    </row>
    <row r="223" spans="1:17" s="711" customFormat="1">
      <c r="A223" s="1385"/>
      <c r="B223" s="1386"/>
      <c r="C223" s="1320"/>
      <c r="D223" s="1320" t="s">
        <v>1311</v>
      </c>
      <c r="E223" s="1320"/>
      <c r="F223" s="713" t="s">
        <v>1020</v>
      </c>
      <c r="G223" s="713">
        <v>0.2</v>
      </c>
      <c r="H223" s="1353"/>
      <c r="I223" s="1357"/>
      <c r="J223" s="1358"/>
      <c r="K223" s="1359"/>
      <c r="L223" s="1365"/>
      <c r="M223" s="1366"/>
      <c r="N223" s="708"/>
      <c r="O223" s="709"/>
      <c r="P223" s="709"/>
      <c r="Q223" s="710"/>
    </row>
    <row r="224" spans="1:17" s="711" customFormat="1">
      <c r="A224" s="1385"/>
      <c r="B224" s="1386"/>
      <c r="C224" s="1320"/>
      <c r="D224" s="1387" t="s">
        <v>1312</v>
      </c>
      <c r="E224" s="1387"/>
      <c r="F224" s="713" t="s">
        <v>1020</v>
      </c>
      <c r="G224" s="713">
        <v>0.5</v>
      </c>
      <c r="H224" s="1353"/>
      <c r="I224" s="1360"/>
      <c r="J224" s="1361"/>
      <c r="K224" s="1362"/>
      <c r="L224" s="1367"/>
      <c r="M224" s="1368"/>
      <c r="N224" s="708"/>
      <c r="O224" s="709"/>
      <c r="P224" s="709"/>
      <c r="Q224" s="710"/>
    </row>
    <row r="225" spans="1:245" s="711" customFormat="1" ht="19.5" customHeight="1">
      <c r="A225" s="1385"/>
      <c r="B225" s="1386"/>
      <c r="C225" s="1320" t="s">
        <v>1313</v>
      </c>
      <c r="D225" s="1321" t="s">
        <v>1314</v>
      </c>
      <c r="E225" s="732" t="s">
        <v>1315</v>
      </c>
      <c r="F225" s="713" t="s">
        <v>1193</v>
      </c>
      <c r="G225" s="713">
        <v>0</v>
      </c>
      <c r="H225" s="1322">
        <f>IF(F229="Y",G229,IF(F226="Y",G226,IF(F227="Y",G227,IF(F228="Y",G228,IF(F225="Y",G225,0)))))</f>
        <v>0</v>
      </c>
      <c r="I225" s="1323" t="s">
        <v>1316</v>
      </c>
      <c r="J225" s="1324"/>
      <c r="K225" s="1325"/>
      <c r="L225" s="1363" t="s">
        <v>1317</v>
      </c>
      <c r="M225" s="1364"/>
      <c r="N225" s="708"/>
      <c r="O225" s="715"/>
      <c r="P225" s="709"/>
      <c r="Q225" s="733"/>
    </row>
    <row r="226" spans="1:245" s="711" customFormat="1" ht="19.5" customHeight="1">
      <c r="A226" s="1385"/>
      <c r="B226" s="1386"/>
      <c r="C226" s="1320"/>
      <c r="D226" s="1321"/>
      <c r="E226" s="732" t="s">
        <v>1318</v>
      </c>
      <c r="F226" s="713" t="s">
        <v>1020</v>
      </c>
      <c r="G226" s="713">
        <v>0.2</v>
      </c>
      <c r="H226" s="1322"/>
      <c r="I226" s="1326"/>
      <c r="J226" s="1327"/>
      <c r="K226" s="1328"/>
      <c r="L226" s="1365"/>
      <c r="M226" s="1366"/>
      <c r="N226" s="708"/>
      <c r="O226" s="715"/>
      <c r="P226" s="709"/>
      <c r="Q226" s="733"/>
    </row>
    <row r="227" spans="1:245" s="711" customFormat="1" ht="19.5" customHeight="1">
      <c r="A227" s="1385"/>
      <c r="B227" s="1386"/>
      <c r="C227" s="1320"/>
      <c r="D227" s="713" t="s">
        <v>1319</v>
      </c>
      <c r="E227" s="732" t="s">
        <v>1320</v>
      </c>
      <c r="F227" s="713" t="s">
        <v>1020</v>
      </c>
      <c r="G227" s="713">
        <v>0</v>
      </c>
      <c r="H227" s="1322"/>
      <c r="I227" s="1326"/>
      <c r="J227" s="1327"/>
      <c r="K227" s="1328"/>
      <c r="L227" s="1365"/>
      <c r="M227" s="1366"/>
      <c r="N227" s="708"/>
      <c r="O227" s="709"/>
      <c r="P227" s="709"/>
      <c r="Q227" s="734"/>
    </row>
    <row r="228" spans="1:245" s="711" customFormat="1" ht="19.5" customHeight="1">
      <c r="A228" s="1385"/>
      <c r="B228" s="1386"/>
      <c r="C228" s="1320"/>
      <c r="D228" s="1321" t="s">
        <v>1321</v>
      </c>
      <c r="E228" s="732" t="s">
        <v>1315</v>
      </c>
      <c r="F228" s="713" t="s">
        <v>1020</v>
      </c>
      <c r="G228" s="713">
        <v>0</v>
      </c>
      <c r="H228" s="1322"/>
      <c r="I228" s="1326"/>
      <c r="J228" s="1327"/>
      <c r="K228" s="1328"/>
      <c r="L228" s="1365"/>
      <c r="M228" s="1366"/>
      <c r="N228" s="708"/>
      <c r="O228" s="709"/>
      <c r="P228" s="709"/>
      <c r="Q228" s="734"/>
    </row>
    <row r="229" spans="1:245" s="711" customFormat="1" ht="19.5" customHeight="1">
      <c r="A229" s="1385"/>
      <c r="B229" s="1386"/>
      <c r="C229" s="1320"/>
      <c r="D229" s="1321"/>
      <c r="E229" s="732" t="s">
        <v>1318</v>
      </c>
      <c r="F229" s="713" t="s">
        <v>1020</v>
      </c>
      <c r="G229" s="713">
        <v>0.2</v>
      </c>
      <c r="H229" s="1322"/>
      <c r="I229" s="1329"/>
      <c r="J229" s="1330"/>
      <c r="K229" s="1331"/>
      <c r="L229" s="1367"/>
      <c r="M229" s="1368"/>
      <c r="N229" s="708"/>
      <c r="O229" s="709"/>
      <c r="P229" s="709"/>
      <c r="Q229" s="734"/>
    </row>
    <row r="230" spans="1:245" s="737" customFormat="1" ht="19.5" customHeight="1">
      <c r="A230" s="1381" t="s">
        <v>1322</v>
      </c>
      <c r="B230" s="1382"/>
      <c r="C230" s="1320" t="s">
        <v>1323</v>
      </c>
      <c r="D230" s="1320" t="s">
        <v>1324</v>
      </c>
      <c r="E230" s="1320"/>
      <c r="F230" s="713" t="s">
        <v>1193</v>
      </c>
      <c r="G230" s="713">
        <v>0</v>
      </c>
      <c r="H230" s="1383">
        <f>IF(F231="Y",G231,IF(F231="Y",G230,0))</f>
        <v>0</v>
      </c>
      <c r="I230" s="1354" t="s">
        <v>1325</v>
      </c>
      <c r="J230" s="1355"/>
      <c r="K230" s="1356"/>
      <c r="L230" s="1363" t="s">
        <v>1326</v>
      </c>
      <c r="M230" s="1364"/>
      <c r="N230" s="735"/>
      <c r="O230" s="736"/>
      <c r="P230" s="736"/>
    </row>
    <row r="231" spans="1:245" s="737" customFormat="1" ht="19.5" customHeight="1">
      <c r="A231" s="1381"/>
      <c r="B231" s="1382"/>
      <c r="C231" s="1320"/>
      <c r="D231" s="1320" t="s">
        <v>1327</v>
      </c>
      <c r="E231" s="1320"/>
      <c r="F231" s="713" t="s">
        <v>1020</v>
      </c>
      <c r="G231" s="713">
        <v>0.3</v>
      </c>
      <c r="H231" s="1384"/>
      <c r="I231" s="1360"/>
      <c r="J231" s="1361"/>
      <c r="K231" s="1362"/>
      <c r="L231" s="1367"/>
      <c r="M231" s="1368"/>
      <c r="N231" s="735"/>
      <c r="O231" s="736"/>
      <c r="P231" s="736"/>
    </row>
    <row r="232" spans="1:245" s="737" customFormat="1" ht="19.5" customHeight="1">
      <c r="A232" s="1381"/>
      <c r="B232" s="1382"/>
      <c r="C232" s="1320" t="s">
        <v>1328</v>
      </c>
      <c r="D232" s="1320"/>
      <c r="E232" s="1320"/>
      <c r="F232" s="713" t="s">
        <v>1020</v>
      </c>
      <c r="G232" s="713">
        <v>0.5</v>
      </c>
      <c r="H232" s="729">
        <f>IF(F232="Y",0.5,0)</f>
        <v>0</v>
      </c>
      <c r="I232" s="1369"/>
      <c r="J232" s="1370"/>
      <c r="K232" s="1371"/>
      <c r="L232" s="1369"/>
      <c r="M232" s="1372"/>
      <c r="N232" s="735"/>
      <c r="O232" s="736"/>
      <c r="P232" s="736"/>
    </row>
    <row r="233" spans="1:245" s="741" customFormat="1" ht="25.5" customHeight="1" thickBot="1">
      <c r="A233" s="1373" t="s">
        <v>1329</v>
      </c>
      <c r="B233" s="1374"/>
      <c r="C233" s="1374"/>
      <c r="D233" s="1375"/>
      <c r="E233" s="1375"/>
      <c r="F233" s="1375"/>
      <c r="G233" s="1375"/>
      <c r="H233" s="738">
        <f>SUM(H199:H232)</f>
        <v>0</v>
      </c>
      <c r="I233" s="1376"/>
      <c r="J233" s="1377"/>
      <c r="K233" s="1378"/>
      <c r="L233" s="1379"/>
      <c r="M233" s="1380"/>
      <c r="N233" s="739"/>
      <c r="O233" s="740"/>
      <c r="P233" s="740"/>
    </row>
    <row r="234" spans="1:245" s="746" customFormat="1" ht="12.75" thickBot="1">
      <c r="A234" s="742"/>
      <c r="B234" s="743"/>
      <c r="C234" s="743"/>
      <c r="D234" s="742"/>
      <c r="E234" s="742"/>
      <c r="F234" s="744"/>
      <c r="G234" s="742"/>
      <c r="H234" s="742"/>
      <c r="I234" s="742"/>
      <c r="J234" s="742"/>
      <c r="K234" s="742"/>
      <c r="L234" s="745"/>
      <c r="M234" s="745"/>
      <c r="N234" s="741"/>
      <c r="O234" s="740"/>
      <c r="P234" s="740"/>
    </row>
    <row r="235" spans="1:245" s="751" customFormat="1" ht="39" customHeight="1">
      <c r="A235" s="747"/>
      <c r="B235" s="1336" t="s">
        <v>1330</v>
      </c>
      <c r="C235" s="748" t="s">
        <v>1331</v>
      </c>
      <c r="D235" s="748" t="s">
        <v>1332</v>
      </c>
      <c r="E235" s="748" t="s">
        <v>1014</v>
      </c>
      <c r="F235" s="748" t="s">
        <v>1002</v>
      </c>
      <c r="G235" s="748" t="s">
        <v>1015</v>
      </c>
      <c r="H235" s="748" t="s">
        <v>1004</v>
      </c>
      <c r="I235" s="749" t="s">
        <v>1010</v>
      </c>
      <c r="J235" s="750"/>
      <c r="K235" s="746"/>
      <c r="L235" s="741"/>
      <c r="M235" s="740"/>
      <c r="N235" s="740"/>
      <c r="O235" s="746"/>
      <c r="P235" s="746"/>
      <c r="Q235" s="746"/>
      <c r="R235" s="746"/>
      <c r="S235" s="746"/>
      <c r="T235" s="746"/>
      <c r="U235" s="746"/>
      <c r="V235" s="746"/>
      <c r="W235" s="746"/>
      <c r="X235" s="746"/>
      <c r="Y235" s="746"/>
      <c r="Z235" s="746"/>
      <c r="AA235" s="746"/>
      <c r="AB235" s="746"/>
      <c r="AC235" s="746"/>
      <c r="AD235" s="746"/>
      <c r="AE235" s="746"/>
      <c r="AF235" s="746"/>
      <c r="AG235" s="746"/>
      <c r="AH235" s="746"/>
      <c r="AI235" s="746"/>
      <c r="AJ235" s="746"/>
      <c r="AK235" s="746"/>
      <c r="AL235" s="746"/>
      <c r="AM235" s="746"/>
      <c r="AN235" s="746"/>
      <c r="AO235" s="746"/>
      <c r="AP235" s="746"/>
      <c r="AQ235" s="746"/>
      <c r="AR235" s="746"/>
      <c r="AS235" s="746"/>
      <c r="AT235" s="746"/>
      <c r="AU235" s="746"/>
      <c r="AV235" s="746"/>
      <c r="AW235" s="746"/>
      <c r="AX235" s="746"/>
      <c r="AY235" s="746"/>
      <c r="AZ235" s="746"/>
      <c r="BA235" s="746"/>
      <c r="BB235" s="746"/>
      <c r="BC235" s="746"/>
      <c r="BD235" s="746"/>
      <c r="BE235" s="746"/>
      <c r="BF235" s="746"/>
      <c r="BG235" s="746"/>
      <c r="BH235" s="746"/>
      <c r="BI235" s="746"/>
      <c r="BJ235" s="746"/>
      <c r="BK235" s="746"/>
      <c r="BL235" s="746"/>
      <c r="BM235" s="746"/>
      <c r="BN235" s="746"/>
      <c r="BO235" s="746"/>
      <c r="BP235" s="746"/>
      <c r="BQ235" s="746"/>
      <c r="BR235" s="746"/>
      <c r="BS235" s="746"/>
      <c r="BT235" s="746"/>
      <c r="BU235" s="746"/>
      <c r="BV235" s="746"/>
      <c r="BW235" s="746"/>
      <c r="BX235" s="746"/>
      <c r="BY235" s="746"/>
      <c r="BZ235" s="746"/>
      <c r="CA235" s="746"/>
      <c r="CB235" s="746"/>
      <c r="CC235" s="746"/>
      <c r="CD235" s="746"/>
      <c r="CE235" s="746"/>
      <c r="CF235" s="746"/>
      <c r="CG235" s="746"/>
      <c r="CH235" s="746"/>
      <c r="CI235" s="746"/>
      <c r="CJ235" s="746"/>
      <c r="CK235" s="746"/>
      <c r="CL235" s="746"/>
      <c r="CM235" s="746"/>
      <c r="CN235" s="746"/>
      <c r="CO235" s="746"/>
      <c r="CP235" s="746"/>
      <c r="CQ235" s="746"/>
      <c r="CR235" s="746"/>
      <c r="CS235" s="746"/>
      <c r="CT235" s="746"/>
      <c r="CU235" s="746"/>
      <c r="CV235" s="746"/>
      <c r="CW235" s="746"/>
      <c r="CX235" s="746"/>
      <c r="CY235" s="746"/>
      <c r="CZ235" s="746"/>
      <c r="DA235" s="746"/>
      <c r="DB235" s="746"/>
      <c r="DC235" s="746"/>
      <c r="DD235" s="746"/>
      <c r="DE235" s="746"/>
      <c r="DF235" s="746"/>
      <c r="DG235" s="746"/>
      <c r="DH235" s="746"/>
      <c r="DI235" s="746"/>
      <c r="DJ235" s="746"/>
      <c r="DK235" s="746"/>
      <c r="DL235" s="746"/>
      <c r="DM235" s="746"/>
      <c r="DN235" s="746"/>
      <c r="DO235" s="746"/>
      <c r="DP235" s="746"/>
      <c r="DQ235" s="746"/>
      <c r="DR235" s="746"/>
      <c r="DS235" s="746"/>
      <c r="DT235" s="746"/>
      <c r="DU235" s="746"/>
      <c r="DV235" s="746"/>
      <c r="DW235" s="746"/>
      <c r="DX235" s="746"/>
      <c r="DY235" s="746"/>
      <c r="DZ235" s="746"/>
      <c r="EA235" s="746"/>
      <c r="EB235" s="746"/>
      <c r="EC235" s="746"/>
      <c r="ED235" s="746"/>
      <c r="EE235" s="746"/>
      <c r="EF235" s="746"/>
      <c r="EG235" s="746"/>
      <c r="EH235" s="746"/>
      <c r="EI235" s="746"/>
      <c r="EJ235" s="746"/>
      <c r="EK235" s="746"/>
      <c r="EL235" s="746"/>
      <c r="EM235" s="746"/>
      <c r="EN235" s="746"/>
      <c r="EO235" s="746"/>
      <c r="EP235" s="746"/>
      <c r="EQ235" s="746"/>
      <c r="ER235" s="746"/>
      <c r="ES235" s="746"/>
      <c r="ET235" s="746"/>
      <c r="EU235" s="746"/>
      <c r="EV235" s="746"/>
      <c r="EW235" s="746"/>
      <c r="EX235" s="746"/>
      <c r="EY235" s="746"/>
      <c r="EZ235" s="746"/>
      <c r="FA235" s="746"/>
      <c r="FB235" s="746"/>
      <c r="FC235" s="746"/>
      <c r="FD235" s="746"/>
      <c r="FE235" s="746"/>
      <c r="FF235" s="746"/>
      <c r="FG235" s="746"/>
      <c r="FH235" s="746"/>
      <c r="FI235" s="746"/>
      <c r="FJ235" s="746"/>
      <c r="FK235" s="746"/>
      <c r="FL235" s="746"/>
      <c r="FM235" s="746"/>
      <c r="FN235" s="746"/>
      <c r="FO235" s="746"/>
      <c r="FP235" s="746"/>
      <c r="FQ235" s="746"/>
      <c r="FR235" s="746"/>
      <c r="FS235" s="746"/>
      <c r="FT235" s="746"/>
      <c r="FU235" s="746"/>
      <c r="FV235" s="746"/>
      <c r="FW235" s="746"/>
      <c r="FX235" s="746"/>
      <c r="FY235" s="746"/>
      <c r="FZ235" s="746"/>
      <c r="GA235" s="746"/>
      <c r="GB235" s="746"/>
      <c r="GC235" s="746"/>
      <c r="GD235" s="746"/>
      <c r="GE235" s="746"/>
      <c r="GF235" s="746"/>
      <c r="GG235" s="746"/>
      <c r="GH235" s="746"/>
      <c r="GI235" s="746"/>
      <c r="GJ235" s="746"/>
      <c r="GK235" s="746"/>
      <c r="GL235" s="746"/>
      <c r="GM235" s="746"/>
      <c r="GN235" s="746"/>
      <c r="GO235" s="746"/>
      <c r="GP235" s="746"/>
      <c r="GQ235" s="746"/>
      <c r="GR235" s="746"/>
      <c r="GS235" s="746"/>
      <c r="GT235" s="746"/>
      <c r="GU235" s="746"/>
      <c r="GV235" s="746"/>
      <c r="GW235" s="746"/>
      <c r="GX235" s="746"/>
      <c r="GY235" s="746"/>
      <c r="GZ235" s="746"/>
      <c r="HA235" s="746"/>
      <c r="HB235" s="746"/>
      <c r="HC235" s="746"/>
      <c r="HD235" s="746"/>
      <c r="HE235" s="746"/>
      <c r="HF235" s="746"/>
      <c r="HG235" s="746"/>
      <c r="HH235" s="746"/>
      <c r="HI235" s="746"/>
      <c r="HJ235" s="746"/>
      <c r="HK235" s="746"/>
      <c r="HL235" s="746"/>
      <c r="HM235" s="746"/>
      <c r="HN235" s="746"/>
      <c r="HO235" s="746"/>
      <c r="HP235" s="746"/>
      <c r="HQ235" s="746"/>
      <c r="HR235" s="746"/>
      <c r="HS235" s="746"/>
      <c r="HT235" s="746"/>
      <c r="HU235" s="746"/>
      <c r="HV235" s="746"/>
      <c r="HW235" s="746"/>
      <c r="HX235" s="746"/>
      <c r="HY235" s="746"/>
      <c r="HZ235" s="746"/>
      <c r="IA235" s="746"/>
      <c r="IB235" s="746"/>
      <c r="IC235" s="746"/>
      <c r="ID235" s="746"/>
      <c r="IE235" s="746"/>
      <c r="IF235" s="746"/>
      <c r="IG235" s="746"/>
      <c r="IH235" s="746"/>
      <c r="II235" s="746"/>
      <c r="IJ235" s="746"/>
      <c r="IK235" s="746"/>
    </row>
    <row r="236" spans="1:245" s="756" customFormat="1" ht="21.75" customHeight="1">
      <c r="A236" s="752"/>
      <c r="B236" s="1238"/>
      <c r="C236" s="753">
        <f>D148</f>
        <v>0</v>
      </c>
      <c r="D236" s="754">
        <f>E148+F148+G148+H148</f>
        <v>0</v>
      </c>
      <c r="E236" s="754">
        <f>E149</f>
        <v>0</v>
      </c>
      <c r="F236" s="754">
        <f>F149</f>
        <v>0</v>
      </c>
      <c r="G236" s="754">
        <f>G149</f>
        <v>0</v>
      </c>
      <c r="H236" s="754">
        <f>H149</f>
        <v>0</v>
      </c>
      <c r="I236" s="755"/>
      <c r="J236" s="739"/>
      <c r="K236" s="741"/>
      <c r="L236" s="741"/>
      <c r="M236" s="740"/>
      <c r="N236" s="740"/>
      <c r="O236" s="741"/>
      <c r="P236" s="741"/>
      <c r="Q236" s="741"/>
      <c r="R236" s="741"/>
      <c r="S236" s="741"/>
      <c r="T236" s="741"/>
      <c r="U236" s="741"/>
      <c r="V236" s="741"/>
      <c r="W236" s="741"/>
      <c r="X236" s="741"/>
      <c r="Y236" s="741"/>
      <c r="Z236" s="741"/>
      <c r="AA236" s="741"/>
      <c r="AB236" s="741"/>
      <c r="AC236" s="741"/>
      <c r="AD236" s="741"/>
      <c r="AE236" s="741"/>
      <c r="AF236" s="741"/>
      <c r="AG236" s="741"/>
      <c r="AH236" s="741"/>
      <c r="AI236" s="741"/>
      <c r="AJ236" s="741"/>
      <c r="AK236" s="741"/>
      <c r="AL236" s="741"/>
      <c r="AM236" s="741"/>
      <c r="AN236" s="741"/>
      <c r="AO236" s="741"/>
      <c r="AP236" s="741"/>
      <c r="AQ236" s="741"/>
      <c r="AR236" s="741"/>
      <c r="AS236" s="741"/>
      <c r="AT236" s="741"/>
      <c r="AU236" s="741"/>
      <c r="AV236" s="741"/>
      <c r="AW236" s="741"/>
      <c r="AX236" s="741"/>
      <c r="AY236" s="741"/>
      <c r="AZ236" s="741"/>
      <c r="BA236" s="741"/>
      <c r="BB236" s="741"/>
      <c r="BC236" s="741"/>
      <c r="BD236" s="741"/>
      <c r="BE236" s="741"/>
      <c r="BF236" s="741"/>
      <c r="BG236" s="741"/>
      <c r="BH236" s="741"/>
      <c r="BI236" s="741"/>
      <c r="BJ236" s="741"/>
      <c r="BK236" s="741"/>
      <c r="BL236" s="741"/>
      <c r="BM236" s="741"/>
      <c r="BN236" s="741"/>
      <c r="BO236" s="741"/>
      <c r="BP236" s="741"/>
      <c r="BQ236" s="741"/>
      <c r="BR236" s="741"/>
      <c r="BS236" s="741"/>
      <c r="BT236" s="741"/>
      <c r="BU236" s="741"/>
      <c r="BV236" s="741"/>
      <c r="BW236" s="741"/>
      <c r="BX236" s="741"/>
      <c r="BY236" s="741"/>
      <c r="BZ236" s="741"/>
      <c r="CA236" s="741"/>
      <c r="CB236" s="741"/>
      <c r="CC236" s="741"/>
      <c r="CD236" s="741"/>
      <c r="CE236" s="741"/>
      <c r="CF236" s="741"/>
      <c r="CG236" s="741"/>
      <c r="CH236" s="741"/>
      <c r="CI236" s="741"/>
      <c r="CJ236" s="741"/>
      <c r="CK236" s="741"/>
      <c r="CL236" s="741"/>
      <c r="CM236" s="741"/>
      <c r="CN236" s="741"/>
      <c r="CO236" s="741"/>
      <c r="CP236" s="741"/>
      <c r="CQ236" s="741"/>
      <c r="CR236" s="741"/>
      <c r="CS236" s="741"/>
      <c r="CT236" s="741"/>
      <c r="CU236" s="741"/>
      <c r="CV236" s="741"/>
      <c r="CW236" s="741"/>
      <c r="CX236" s="741"/>
      <c r="CY236" s="741"/>
      <c r="CZ236" s="741"/>
      <c r="DA236" s="741"/>
      <c r="DB236" s="741"/>
      <c r="DC236" s="741"/>
      <c r="DD236" s="741"/>
      <c r="DE236" s="741"/>
      <c r="DF236" s="741"/>
      <c r="DG236" s="741"/>
      <c r="DH236" s="741"/>
      <c r="DI236" s="741"/>
      <c r="DJ236" s="741"/>
      <c r="DK236" s="741"/>
      <c r="DL236" s="741"/>
      <c r="DM236" s="741"/>
      <c r="DN236" s="741"/>
      <c r="DO236" s="741"/>
      <c r="DP236" s="741"/>
      <c r="DQ236" s="741"/>
      <c r="DR236" s="741"/>
      <c r="DS236" s="741"/>
      <c r="DT236" s="741"/>
      <c r="DU236" s="741"/>
      <c r="DV236" s="741"/>
      <c r="DW236" s="741"/>
      <c r="DX236" s="741"/>
      <c r="DY236" s="741"/>
      <c r="DZ236" s="741"/>
      <c r="EA236" s="741"/>
      <c r="EB236" s="741"/>
      <c r="EC236" s="741"/>
      <c r="ED236" s="741"/>
      <c r="EE236" s="741"/>
      <c r="EF236" s="741"/>
      <c r="EG236" s="741"/>
      <c r="EH236" s="741"/>
      <c r="EI236" s="741"/>
      <c r="EJ236" s="741"/>
      <c r="EK236" s="741"/>
      <c r="EL236" s="741"/>
      <c r="EM236" s="741"/>
      <c r="EN236" s="741"/>
      <c r="EO236" s="741"/>
      <c r="EP236" s="741"/>
      <c r="EQ236" s="741"/>
      <c r="ER236" s="741"/>
      <c r="ES236" s="741"/>
      <c r="ET236" s="741"/>
      <c r="EU236" s="741"/>
      <c r="EV236" s="741"/>
      <c r="EW236" s="741"/>
      <c r="EX236" s="741"/>
      <c r="EY236" s="741"/>
      <c r="EZ236" s="741"/>
      <c r="FA236" s="741"/>
      <c r="FB236" s="741"/>
      <c r="FC236" s="741"/>
      <c r="FD236" s="741"/>
      <c r="FE236" s="741"/>
      <c r="FF236" s="741"/>
      <c r="FG236" s="741"/>
      <c r="FH236" s="741"/>
      <c r="FI236" s="741"/>
      <c r="FJ236" s="741"/>
      <c r="FK236" s="741"/>
      <c r="FL236" s="741"/>
      <c r="FM236" s="741"/>
      <c r="FN236" s="741"/>
      <c r="FO236" s="741"/>
      <c r="FP236" s="741"/>
      <c r="FQ236" s="741"/>
      <c r="FR236" s="741"/>
      <c r="FS236" s="741"/>
      <c r="FT236" s="741"/>
      <c r="FU236" s="741"/>
      <c r="FV236" s="741"/>
      <c r="FW236" s="741"/>
      <c r="FX236" s="741"/>
      <c r="FY236" s="741"/>
      <c r="FZ236" s="741"/>
      <c r="GA236" s="741"/>
      <c r="GB236" s="741"/>
      <c r="GC236" s="741"/>
      <c r="GD236" s="741"/>
      <c r="GE236" s="741"/>
      <c r="GF236" s="741"/>
      <c r="GG236" s="741"/>
      <c r="GH236" s="741"/>
      <c r="GI236" s="741"/>
      <c r="GJ236" s="741"/>
      <c r="GK236" s="741"/>
      <c r="GL236" s="741"/>
      <c r="GM236" s="741"/>
      <c r="GN236" s="741"/>
      <c r="GO236" s="741"/>
      <c r="GP236" s="741"/>
      <c r="GQ236" s="741"/>
      <c r="GR236" s="741"/>
      <c r="GS236" s="741"/>
      <c r="GT236" s="741"/>
      <c r="GU236" s="741"/>
      <c r="GV236" s="741"/>
      <c r="GW236" s="741"/>
      <c r="GX236" s="741"/>
      <c r="GY236" s="741"/>
      <c r="GZ236" s="741"/>
      <c r="HA236" s="741"/>
      <c r="HB236" s="741"/>
      <c r="HC236" s="741"/>
      <c r="HD236" s="741"/>
      <c r="HE236" s="741"/>
      <c r="HF236" s="741"/>
      <c r="HG236" s="741"/>
      <c r="HH236" s="741"/>
      <c r="HI236" s="741"/>
      <c r="HJ236" s="741"/>
      <c r="HK236" s="741"/>
      <c r="HL236" s="741"/>
      <c r="HM236" s="741"/>
      <c r="HN236" s="741"/>
      <c r="HO236" s="741"/>
      <c r="HP236" s="741"/>
      <c r="HQ236" s="741"/>
      <c r="HR236" s="741"/>
      <c r="HS236" s="741"/>
      <c r="HT236" s="741"/>
      <c r="HU236" s="741"/>
      <c r="HV236" s="741"/>
      <c r="HW236" s="741"/>
      <c r="HX236" s="741"/>
      <c r="HY236" s="741"/>
      <c r="HZ236" s="741"/>
      <c r="IA236" s="741"/>
      <c r="IB236" s="741"/>
      <c r="IC236" s="741"/>
      <c r="ID236" s="741"/>
      <c r="IE236" s="741"/>
      <c r="IF236" s="741"/>
      <c r="IG236" s="741"/>
      <c r="IH236" s="741"/>
      <c r="II236" s="741"/>
      <c r="IJ236" s="741"/>
      <c r="IK236" s="741"/>
    </row>
    <row r="237" spans="1:245" s="746" customFormat="1" ht="21.75" customHeight="1">
      <c r="A237" s="757"/>
      <c r="B237" s="233" t="s">
        <v>1333</v>
      </c>
      <c r="C237" s="1338">
        <f>SUM(E237:H237)</f>
        <v>0</v>
      </c>
      <c r="D237" s="1339"/>
      <c r="E237" s="758">
        <f>E149*(1+$H$233)+E40*($H$168+$H$174+$H$177)+E53*($H$153+$H$156)+E56*($H$180)+E74*($H$159+$H$162)+E87*($H$193+$H$196)+E134*($H$183+$H$186+$H$189)</f>
        <v>0</v>
      </c>
      <c r="F237" s="758">
        <f>F149*(1+$H$233)+F40*($H$168+$H$174+$H$177)+F53*($H$153+$H$156)+F56*($H$180)+F74*($H$159+$H$162)+F87*($H$193+$H$196)+F134*($H$183+$H$186+$H$189)</f>
        <v>0</v>
      </c>
      <c r="G237" s="758">
        <f>G149*(1+$H$233)+G40*($H$168+$H$174+$H$177)+G53*($H$153+$H$156)+G56*($H$180)+G74*($H$159+$H$162)+G87*($H$193+$H$196)+G134*($H$183+$H$186+$H$189)</f>
        <v>0</v>
      </c>
      <c r="H237" s="758">
        <f>H149*(1+$H$233)+H40*($H$168+$H$174+$H$177)+H53*($H$153+$H$156)+H56*($H$180)+H74*($H$159+$H$162)+H87*($H$193+$H$196)+H134*($H$183+$H$186+$H$189)</f>
        <v>0</v>
      </c>
      <c r="I237" s="759">
        <f>E237*I3+F237*I5+G237*I6+I7*H237</f>
        <v>0</v>
      </c>
      <c r="J237" s="760"/>
      <c r="M237" s="741"/>
      <c r="N237" s="740"/>
      <c r="O237" s="740"/>
    </row>
    <row r="238" spans="1:245" s="746" customFormat="1" ht="33.75" customHeight="1" thickBot="1">
      <c r="A238" s="761"/>
      <c r="B238" s="743"/>
      <c r="C238" s="743"/>
      <c r="D238" s="742"/>
      <c r="E238" s="762"/>
      <c r="F238" s="762"/>
      <c r="G238" s="762"/>
      <c r="H238" s="762"/>
      <c r="I238" s="745"/>
      <c r="J238" s="745"/>
      <c r="N238" s="741"/>
      <c r="O238" s="740"/>
      <c r="P238" s="740"/>
    </row>
    <row r="239" spans="1:245" s="746" customFormat="1" ht="12">
      <c r="A239" s="747"/>
      <c r="B239" s="1340" t="s">
        <v>1334</v>
      </c>
      <c r="C239" s="763" t="s">
        <v>1335</v>
      </c>
      <c r="D239" s="764">
        <v>0.1</v>
      </c>
      <c r="E239" s="765"/>
      <c r="F239" s="766"/>
      <c r="J239" s="767"/>
      <c r="N239" s="741"/>
      <c r="O239" s="740"/>
      <c r="P239" s="740"/>
    </row>
    <row r="240" spans="1:245" s="746" customFormat="1" ht="12">
      <c r="A240" s="747"/>
      <c r="B240" s="1341"/>
      <c r="C240" s="768" t="s">
        <v>1336</v>
      </c>
      <c r="D240" s="769">
        <f>C237*D239</f>
        <v>0</v>
      </c>
      <c r="E240" s="770"/>
      <c r="N240" s="741"/>
      <c r="O240" s="740"/>
      <c r="P240" s="740"/>
    </row>
    <row r="241" spans="1:16" s="746" customFormat="1" ht="36.75" thickBot="1">
      <c r="A241" s="747"/>
      <c r="B241" s="1342"/>
      <c r="C241" s="771" t="s">
        <v>1337</v>
      </c>
      <c r="D241" s="772">
        <f>D240*I4</f>
        <v>0</v>
      </c>
      <c r="E241" s="773"/>
      <c r="N241" s="741"/>
      <c r="O241" s="740"/>
      <c r="P241" s="740"/>
    </row>
    <row r="242" spans="1:16" s="746" customFormat="1" ht="12.75" thickBot="1">
      <c r="A242" s="742"/>
      <c r="B242" s="774"/>
      <c r="C242" s="775"/>
      <c r="D242" s="776"/>
      <c r="E242" s="777"/>
      <c r="F242" s="761"/>
      <c r="N242" s="741"/>
      <c r="O242" s="740"/>
      <c r="P242" s="740"/>
    </row>
    <row r="243" spans="1:16" s="746" customFormat="1" ht="12">
      <c r="A243" s="747"/>
      <c r="B243" s="1340" t="s">
        <v>1338</v>
      </c>
      <c r="C243" s="778" t="s">
        <v>1339</v>
      </c>
      <c r="D243" s="779"/>
      <c r="E243" s="1343" t="s">
        <v>1340</v>
      </c>
      <c r="F243" s="1344"/>
      <c r="G243" s="750"/>
      <c r="N243" s="741"/>
      <c r="O243" s="740"/>
      <c r="P243" s="740"/>
    </row>
    <row r="244" spans="1:16" s="746" customFormat="1" ht="36.75" thickBot="1">
      <c r="A244" s="747"/>
      <c r="B244" s="1342"/>
      <c r="C244" s="771" t="s">
        <v>1341</v>
      </c>
      <c r="D244" s="780">
        <f>D243*1000</f>
        <v>0</v>
      </c>
      <c r="E244" s="1345"/>
      <c r="F244" s="1346"/>
      <c r="G244" s="750"/>
      <c r="N244" s="741"/>
      <c r="O244" s="740"/>
      <c r="P244" s="740"/>
    </row>
    <row r="245" spans="1:16" s="746" customFormat="1" ht="12.75" thickBot="1">
      <c r="A245" s="742"/>
      <c r="B245" s="742"/>
      <c r="C245" s="742"/>
      <c r="D245" s="742"/>
      <c r="E245" s="742"/>
      <c r="F245" s="742"/>
      <c r="I245" s="781"/>
      <c r="J245" s="781"/>
      <c r="N245" s="741"/>
      <c r="O245" s="740"/>
      <c r="P245" s="740"/>
    </row>
    <row r="246" spans="1:16" s="746" customFormat="1" ht="12">
      <c r="A246" s="747"/>
      <c r="B246" s="1336" t="s">
        <v>1342</v>
      </c>
      <c r="C246" s="763" t="s">
        <v>1343</v>
      </c>
      <c r="D246" s="779">
        <v>0</v>
      </c>
      <c r="E246" s="1347"/>
      <c r="F246" s="1348"/>
      <c r="G246" s="750"/>
      <c r="N246" s="741"/>
      <c r="O246" s="740"/>
      <c r="P246" s="740"/>
    </row>
    <row r="247" spans="1:16" s="746" customFormat="1" ht="12">
      <c r="A247" s="747"/>
      <c r="B247" s="1238"/>
      <c r="C247" s="230" t="s">
        <v>1344</v>
      </c>
      <c r="D247" s="782">
        <f>D246*D245/5*2</f>
        <v>0</v>
      </c>
      <c r="E247" s="1349"/>
      <c r="F247" s="1350"/>
      <c r="G247" s="750"/>
      <c r="H247" s="783"/>
      <c r="N247" s="741"/>
      <c r="O247" s="740"/>
      <c r="P247" s="740"/>
    </row>
    <row r="248" spans="1:16" s="746" customFormat="1" ht="12">
      <c r="A248" s="747"/>
      <c r="B248" s="1238"/>
      <c r="C248" s="230" t="s">
        <v>1345</v>
      </c>
      <c r="D248" s="782">
        <f>D247*D246/5*2</f>
        <v>0</v>
      </c>
      <c r="E248" s="1351" t="s">
        <v>1346</v>
      </c>
      <c r="F248" s="1352"/>
      <c r="G248" s="750"/>
      <c r="N248" s="741"/>
      <c r="O248" s="740"/>
      <c r="P248" s="740"/>
    </row>
    <row r="249" spans="1:16" s="746" customFormat="1" ht="12">
      <c r="A249" s="747"/>
      <c r="B249" s="1238"/>
      <c r="C249" s="230" t="s">
        <v>1347</v>
      </c>
      <c r="D249" s="782">
        <f>D246*180</f>
        <v>0</v>
      </c>
      <c r="E249" s="1332" t="s">
        <v>1348</v>
      </c>
      <c r="F249" s="1333"/>
      <c r="G249" s="750"/>
      <c r="N249" s="741"/>
      <c r="O249" s="740"/>
      <c r="P249" s="740"/>
    </row>
    <row r="250" spans="1:16" s="746" customFormat="1" ht="12">
      <c r="A250" s="747"/>
      <c r="B250" s="1238"/>
      <c r="C250" s="230" t="s">
        <v>1349</v>
      </c>
      <c r="D250" s="782">
        <f>D246*50</f>
        <v>0</v>
      </c>
      <c r="E250" s="1332" t="s">
        <v>1350</v>
      </c>
      <c r="F250" s="1333"/>
      <c r="G250" s="750"/>
      <c r="K250" s="767"/>
      <c r="N250" s="741"/>
      <c r="O250" s="740"/>
      <c r="P250" s="740"/>
    </row>
    <row r="251" spans="1:16" s="746" customFormat="1" ht="12.75" thickBot="1">
      <c r="A251" s="747"/>
      <c r="B251" s="1337"/>
      <c r="C251" s="784" t="s">
        <v>1351</v>
      </c>
      <c r="D251" s="785">
        <f>SUM(D248:D250)</f>
        <v>0</v>
      </c>
      <c r="E251" s="1334"/>
      <c r="F251" s="1335"/>
      <c r="G251" s="750"/>
      <c r="N251" s="741"/>
      <c r="O251" s="740"/>
      <c r="P251" s="740"/>
    </row>
    <row r="252" spans="1:16" s="746" customFormat="1" ht="12.75" thickBot="1">
      <c r="A252" s="742"/>
      <c r="B252" s="742"/>
      <c r="C252" s="742"/>
      <c r="D252" s="742"/>
      <c r="E252" s="745"/>
      <c r="F252" s="745"/>
      <c r="N252" s="741"/>
      <c r="O252" s="740"/>
      <c r="P252" s="740"/>
    </row>
    <row r="253" spans="1:16" s="746" customFormat="1" ht="36">
      <c r="A253" s="747"/>
      <c r="B253" s="1336" t="s">
        <v>1352</v>
      </c>
      <c r="C253" s="778" t="s">
        <v>1353</v>
      </c>
      <c r="D253" s="786">
        <f>SUM(C237,D240,D243)</f>
        <v>0</v>
      </c>
      <c r="E253" s="773"/>
      <c r="N253" s="741"/>
      <c r="O253" s="740"/>
      <c r="P253" s="740"/>
    </row>
    <row r="254" spans="1:16" s="746" customFormat="1" ht="36.75" thickBot="1">
      <c r="A254" s="747"/>
      <c r="B254" s="1337"/>
      <c r="C254" s="771" t="s">
        <v>1354</v>
      </c>
      <c r="D254" s="787">
        <f>I237+D241+D244+D251</f>
        <v>0</v>
      </c>
      <c r="E254" s="773"/>
      <c r="N254" s="741"/>
      <c r="O254" s="740"/>
      <c r="P254" s="740"/>
    </row>
    <row r="255" spans="1:16" s="746" customFormat="1" ht="12">
      <c r="A255" s="745"/>
      <c r="B255" s="788"/>
      <c r="C255" s="788"/>
      <c r="D255" s="745"/>
      <c r="N255" s="741"/>
      <c r="O255" s="740"/>
      <c r="P255" s="740"/>
    </row>
  </sheetData>
  <sheetProtection selectLockedCells="1" selectUnlockedCells="1"/>
  <mergeCells count="231">
    <mergeCell ref="A1:V1"/>
    <mergeCell ref="A2:F7"/>
    <mergeCell ref="A8:A9"/>
    <mergeCell ref="B8:B9"/>
    <mergeCell ref="C8:C9"/>
    <mergeCell ref="D8:D9"/>
    <mergeCell ref="E8:I8"/>
    <mergeCell ref="J8:J9"/>
    <mergeCell ref="K8:K9"/>
    <mergeCell ref="L8:L9"/>
    <mergeCell ref="M8:M9"/>
    <mergeCell ref="A10:A11"/>
    <mergeCell ref="B11:C11"/>
    <mergeCell ref="A12:A30"/>
    <mergeCell ref="B12:B13"/>
    <mergeCell ref="B14:B18"/>
    <mergeCell ref="M15:M17"/>
    <mergeCell ref="B19:B23"/>
    <mergeCell ref="M20:M22"/>
    <mergeCell ref="B24:B29"/>
    <mergeCell ref="B30:C30"/>
    <mergeCell ref="A31:A148"/>
    <mergeCell ref="B31:B35"/>
    <mergeCell ref="M31:M35"/>
    <mergeCell ref="B36:B40"/>
    <mergeCell ref="M36:M40"/>
    <mergeCell ref="B41:B53"/>
    <mergeCell ref="B54:B56"/>
    <mergeCell ref="M54:M56"/>
    <mergeCell ref="B57:B74"/>
    <mergeCell ref="B90:B95"/>
    <mergeCell ref="M92:M93"/>
    <mergeCell ref="B96:B103"/>
    <mergeCell ref="M96:M103"/>
    <mergeCell ref="B104:B113"/>
    <mergeCell ref="M104:M113"/>
    <mergeCell ref="M57:M72"/>
    <mergeCell ref="B75:B87"/>
    <mergeCell ref="H75:H81"/>
    <mergeCell ref="M75:M87"/>
    <mergeCell ref="H82:H84"/>
    <mergeCell ref="B88:B89"/>
    <mergeCell ref="B135:B136"/>
    <mergeCell ref="B137:B139"/>
    <mergeCell ref="M137:M138"/>
    <mergeCell ref="B140:B147"/>
    <mergeCell ref="M140:M145"/>
    <mergeCell ref="B148:C148"/>
    <mergeCell ref="B114:B116"/>
    <mergeCell ref="M114:M115"/>
    <mergeCell ref="B117:B121"/>
    <mergeCell ref="M117:M120"/>
    <mergeCell ref="B122:B134"/>
    <mergeCell ref="M122:M132"/>
    <mergeCell ref="A149:C149"/>
    <mergeCell ref="A151:M151"/>
    <mergeCell ref="A152:B152"/>
    <mergeCell ref="D152:E152"/>
    <mergeCell ref="I152:K152"/>
    <mergeCell ref="A153:B198"/>
    <mergeCell ref="C153:C158"/>
    <mergeCell ref="D153:D155"/>
    <mergeCell ref="H153:H155"/>
    <mergeCell ref="I153:K155"/>
    <mergeCell ref="L153:M155"/>
    <mergeCell ref="D156:D158"/>
    <mergeCell ref="H156:H158"/>
    <mergeCell ref="I156:K158"/>
    <mergeCell ref="L156:M158"/>
    <mergeCell ref="C159:C164"/>
    <mergeCell ref="D159:D161"/>
    <mergeCell ref="H159:H161"/>
    <mergeCell ref="I159:K161"/>
    <mergeCell ref="L159:M161"/>
    <mergeCell ref="C171:C179"/>
    <mergeCell ref="D171:D173"/>
    <mergeCell ref="H171:H173"/>
    <mergeCell ref="I171:K173"/>
    <mergeCell ref="D162:D164"/>
    <mergeCell ref="H162:H164"/>
    <mergeCell ref="I162:K164"/>
    <mergeCell ref="L162:M164"/>
    <mergeCell ref="C165:C170"/>
    <mergeCell ref="D165:D167"/>
    <mergeCell ref="H165:H167"/>
    <mergeCell ref="I165:K167"/>
    <mergeCell ref="L165:M167"/>
    <mergeCell ref="D168:D170"/>
    <mergeCell ref="D177:D179"/>
    <mergeCell ref="H177:H179"/>
    <mergeCell ref="I177:K179"/>
    <mergeCell ref="L177:M178"/>
    <mergeCell ref="H168:H170"/>
    <mergeCell ref="I168:K170"/>
    <mergeCell ref="L168:M170"/>
    <mergeCell ref="C180:C182"/>
    <mergeCell ref="D180:D182"/>
    <mergeCell ref="H180:H182"/>
    <mergeCell ref="I180:K182"/>
    <mergeCell ref="L180:M181"/>
    <mergeCell ref="L171:M172"/>
    <mergeCell ref="D174:D176"/>
    <mergeCell ref="H174:H176"/>
    <mergeCell ref="I174:K176"/>
    <mergeCell ref="L174:M176"/>
    <mergeCell ref="C183:C192"/>
    <mergeCell ref="D183:D185"/>
    <mergeCell ref="H183:H185"/>
    <mergeCell ref="I183:K185"/>
    <mergeCell ref="L183:M185"/>
    <mergeCell ref="I196:K196"/>
    <mergeCell ref="L196:M198"/>
    <mergeCell ref="I197:K197"/>
    <mergeCell ref="D186:D188"/>
    <mergeCell ref="H186:H188"/>
    <mergeCell ref="I186:K188"/>
    <mergeCell ref="L186:M188"/>
    <mergeCell ref="D189:D192"/>
    <mergeCell ref="H189:H192"/>
    <mergeCell ref="I189:K192"/>
    <mergeCell ref="L199:M202"/>
    <mergeCell ref="D200:E200"/>
    <mergeCell ref="I200:K200"/>
    <mergeCell ref="D201:E201"/>
    <mergeCell ref="I201:K201"/>
    <mergeCell ref="D202:F202"/>
    <mergeCell ref="I202:K202"/>
    <mergeCell ref="I198:K198"/>
    <mergeCell ref="A199:B209"/>
    <mergeCell ref="C199:C202"/>
    <mergeCell ref="D199:E199"/>
    <mergeCell ref="H199:H202"/>
    <mergeCell ref="I199:K199"/>
    <mergeCell ref="C203:C205"/>
    <mergeCell ref="D203:E203"/>
    <mergeCell ref="H203:H205"/>
    <mergeCell ref="I203:K205"/>
    <mergeCell ref="C193:C198"/>
    <mergeCell ref="D193:D195"/>
    <mergeCell ref="H193:H195"/>
    <mergeCell ref="I193:K195"/>
    <mergeCell ref="L193:M195"/>
    <mergeCell ref="D196:D198"/>
    <mergeCell ref="H196:H198"/>
    <mergeCell ref="C208:C209"/>
    <mergeCell ref="D208:E208"/>
    <mergeCell ref="H208:H209"/>
    <mergeCell ref="I208:K209"/>
    <mergeCell ref="L208:M209"/>
    <mergeCell ref="D209:E209"/>
    <mergeCell ref="L203:M205"/>
    <mergeCell ref="D204:E204"/>
    <mergeCell ref="D205:E205"/>
    <mergeCell ref="C206:C207"/>
    <mergeCell ref="D206:E206"/>
    <mergeCell ref="H206:H207"/>
    <mergeCell ref="I206:K206"/>
    <mergeCell ref="L206:M207"/>
    <mergeCell ref="D207:E207"/>
    <mergeCell ref="I207:K207"/>
    <mergeCell ref="A210:B210"/>
    <mergeCell ref="D210:E210"/>
    <mergeCell ref="I210:K210"/>
    <mergeCell ref="L210:M210"/>
    <mergeCell ref="A211:B217"/>
    <mergeCell ref="D211:E211"/>
    <mergeCell ref="I211:K211"/>
    <mergeCell ref="L211:M211"/>
    <mergeCell ref="C212:C214"/>
    <mergeCell ref="D212:E212"/>
    <mergeCell ref="D217:E217"/>
    <mergeCell ref="A218:B221"/>
    <mergeCell ref="C218:C221"/>
    <mergeCell ref="D218:E218"/>
    <mergeCell ref="H218:H221"/>
    <mergeCell ref="I218:K221"/>
    <mergeCell ref="H212:H214"/>
    <mergeCell ref="I212:K214"/>
    <mergeCell ref="L212:M214"/>
    <mergeCell ref="D213:E213"/>
    <mergeCell ref="C215:C217"/>
    <mergeCell ref="D215:E215"/>
    <mergeCell ref="H215:H217"/>
    <mergeCell ref="I215:K217"/>
    <mergeCell ref="L215:M217"/>
    <mergeCell ref="D216:E216"/>
    <mergeCell ref="L218:M221"/>
    <mergeCell ref="D219:E219"/>
    <mergeCell ref="D220:E220"/>
    <mergeCell ref="D221:E221"/>
    <mergeCell ref="C222:C224"/>
    <mergeCell ref="D222:E222"/>
    <mergeCell ref="H222:H224"/>
    <mergeCell ref="I222:K224"/>
    <mergeCell ref="L222:M224"/>
    <mergeCell ref="I232:K232"/>
    <mergeCell ref="L232:M232"/>
    <mergeCell ref="A233:C233"/>
    <mergeCell ref="D233:G233"/>
    <mergeCell ref="I233:K233"/>
    <mergeCell ref="L233:M233"/>
    <mergeCell ref="L225:M229"/>
    <mergeCell ref="D228:D229"/>
    <mergeCell ref="A230:B232"/>
    <mergeCell ref="C230:C231"/>
    <mergeCell ref="D230:E230"/>
    <mergeCell ref="H230:H231"/>
    <mergeCell ref="I230:K231"/>
    <mergeCell ref="L230:M231"/>
    <mergeCell ref="D231:E231"/>
    <mergeCell ref="C232:E232"/>
    <mergeCell ref="A222:B229"/>
    <mergeCell ref="D223:E223"/>
    <mergeCell ref="D224:E224"/>
    <mergeCell ref="C225:C229"/>
    <mergeCell ref="D225:D226"/>
    <mergeCell ref="H225:H229"/>
    <mergeCell ref="I225:K229"/>
    <mergeCell ref="E250:F250"/>
    <mergeCell ref="E251:F251"/>
    <mergeCell ref="B253:B254"/>
    <mergeCell ref="B235:B236"/>
    <mergeCell ref="C237:D237"/>
    <mergeCell ref="B239:B241"/>
    <mergeCell ref="B243:B244"/>
    <mergeCell ref="E243:F244"/>
    <mergeCell ref="B246:B251"/>
    <mergeCell ref="E246:F246"/>
    <mergeCell ref="E247:F247"/>
    <mergeCell ref="E248:F248"/>
    <mergeCell ref="E249:F249"/>
  </mergeCells>
  <phoneticPr fontId="5" type="noConversion"/>
  <dataValidations count="2">
    <dataValidation type="list" allowBlank="1" showInputMessage="1" showErrorMessage="1" sqref="K59 K19">
      <formula1>"1,2,3,4,5,6,7,8,9,10"</formula1>
    </dataValidation>
    <dataValidation type="list" allowBlank="1" showInputMessage="1" showErrorMessage="1" sqref="F186:F188 D48">
      <formula1>"Y,N"</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sqref="A1:D1"/>
    </sheetView>
  </sheetViews>
  <sheetFormatPr defaultRowHeight="13.5"/>
  <cols>
    <col min="1" max="1" width="19.875" style="801" customWidth="1"/>
    <col min="2" max="2" width="18.625" style="801" customWidth="1"/>
    <col min="3" max="3" width="18.625" style="801" bestFit="1" customWidth="1"/>
    <col min="4" max="4" width="17.5" style="801" customWidth="1"/>
    <col min="5" max="5" width="17.75" style="801" customWidth="1"/>
    <col min="6" max="256" width="9" style="801"/>
    <col min="257" max="257" width="19.875" style="801" customWidth="1"/>
    <col min="258" max="258" width="18.625" style="801" customWidth="1"/>
    <col min="259" max="259" width="18.625" style="801" bestFit="1" customWidth="1"/>
    <col min="260" max="260" width="17.5" style="801" customWidth="1"/>
    <col min="261" max="261" width="17.75" style="801" customWidth="1"/>
    <col min="262" max="512" width="9" style="801"/>
    <col min="513" max="513" width="19.875" style="801" customWidth="1"/>
    <col min="514" max="514" width="18.625" style="801" customWidth="1"/>
    <col min="515" max="515" width="18.625" style="801" bestFit="1" customWidth="1"/>
    <col min="516" max="516" width="17.5" style="801" customWidth="1"/>
    <col min="517" max="517" width="17.75" style="801" customWidth="1"/>
    <col min="518" max="768" width="9" style="801"/>
    <col min="769" max="769" width="19.875" style="801" customWidth="1"/>
    <col min="770" max="770" width="18.625" style="801" customWidth="1"/>
    <col min="771" max="771" width="18.625" style="801" bestFit="1" customWidth="1"/>
    <col min="772" max="772" width="17.5" style="801" customWidth="1"/>
    <col min="773" max="773" width="17.75" style="801" customWidth="1"/>
    <col min="774" max="1024" width="9" style="801"/>
    <col min="1025" max="1025" width="19.875" style="801" customWidth="1"/>
    <col min="1026" max="1026" width="18.625" style="801" customWidth="1"/>
    <col min="1027" max="1027" width="18.625" style="801" bestFit="1" customWidth="1"/>
    <col min="1028" max="1028" width="17.5" style="801" customWidth="1"/>
    <col min="1029" max="1029" width="17.75" style="801" customWidth="1"/>
    <col min="1030" max="1280" width="9" style="801"/>
    <col min="1281" max="1281" width="19.875" style="801" customWidth="1"/>
    <col min="1282" max="1282" width="18.625" style="801" customWidth="1"/>
    <col min="1283" max="1283" width="18.625" style="801" bestFit="1" customWidth="1"/>
    <col min="1284" max="1284" width="17.5" style="801" customWidth="1"/>
    <col min="1285" max="1285" width="17.75" style="801" customWidth="1"/>
    <col min="1286" max="1536" width="9" style="801"/>
    <col min="1537" max="1537" width="19.875" style="801" customWidth="1"/>
    <col min="1538" max="1538" width="18.625" style="801" customWidth="1"/>
    <col min="1539" max="1539" width="18.625" style="801" bestFit="1" customWidth="1"/>
    <col min="1540" max="1540" width="17.5" style="801" customWidth="1"/>
    <col min="1541" max="1541" width="17.75" style="801" customWidth="1"/>
    <col min="1542" max="1792" width="9" style="801"/>
    <col min="1793" max="1793" width="19.875" style="801" customWidth="1"/>
    <col min="1794" max="1794" width="18.625" style="801" customWidth="1"/>
    <col min="1795" max="1795" width="18.625" style="801" bestFit="1" customWidth="1"/>
    <col min="1796" max="1796" width="17.5" style="801" customWidth="1"/>
    <col min="1797" max="1797" width="17.75" style="801" customWidth="1"/>
    <col min="1798" max="2048" width="9" style="801"/>
    <col min="2049" max="2049" width="19.875" style="801" customWidth="1"/>
    <col min="2050" max="2050" width="18.625" style="801" customWidth="1"/>
    <col min="2051" max="2051" width="18.625" style="801" bestFit="1" customWidth="1"/>
    <col min="2052" max="2052" width="17.5" style="801" customWidth="1"/>
    <col min="2053" max="2053" width="17.75" style="801" customWidth="1"/>
    <col min="2054" max="2304" width="9" style="801"/>
    <col min="2305" max="2305" width="19.875" style="801" customWidth="1"/>
    <col min="2306" max="2306" width="18.625" style="801" customWidth="1"/>
    <col min="2307" max="2307" width="18.625" style="801" bestFit="1" customWidth="1"/>
    <col min="2308" max="2308" width="17.5" style="801" customWidth="1"/>
    <col min="2309" max="2309" width="17.75" style="801" customWidth="1"/>
    <col min="2310" max="2560" width="9" style="801"/>
    <col min="2561" max="2561" width="19.875" style="801" customWidth="1"/>
    <col min="2562" max="2562" width="18.625" style="801" customWidth="1"/>
    <col min="2563" max="2563" width="18.625" style="801" bestFit="1" customWidth="1"/>
    <col min="2564" max="2564" width="17.5" style="801" customWidth="1"/>
    <col min="2565" max="2565" width="17.75" style="801" customWidth="1"/>
    <col min="2566" max="2816" width="9" style="801"/>
    <col min="2817" max="2817" width="19.875" style="801" customWidth="1"/>
    <col min="2818" max="2818" width="18.625" style="801" customWidth="1"/>
    <col min="2819" max="2819" width="18.625" style="801" bestFit="1" customWidth="1"/>
    <col min="2820" max="2820" width="17.5" style="801" customWidth="1"/>
    <col min="2821" max="2821" width="17.75" style="801" customWidth="1"/>
    <col min="2822" max="3072" width="9" style="801"/>
    <col min="3073" max="3073" width="19.875" style="801" customWidth="1"/>
    <col min="3074" max="3074" width="18.625" style="801" customWidth="1"/>
    <col min="3075" max="3075" width="18.625" style="801" bestFit="1" customWidth="1"/>
    <col min="3076" max="3076" width="17.5" style="801" customWidth="1"/>
    <col min="3077" max="3077" width="17.75" style="801" customWidth="1"/>
    <col min="3078" max="3328" width="9" style="801"/>
    <col min="3329" max="3329" width="19.875" style="801" customWidth="1"/>
    <col min="3330" max="3330" width="18.625" style="801" customWidth="1"/>
    <col min="3331" max="3331" width="18.625" style="801" bestFit="1" customWidth="1"/>
    <col min="3332" max="3332" width="17.5" style="801" customWidth="1"/>
    <col min="3333" max="3333" width="17.75" style="801" customWidth="1"/>
    <col min="3334" max="3584" width="9" style="801"/>
    <col min="3585" max="3585" width="19.875" style="801" customWidth="1"/>
    <col min="3586" max="3586" width="18.625" style="801" customWidth="1"/>
    <col min="3587" max="3587" width="18.625" style="801" bestFit="1" customWidth="1"/>
    <col min="3588" max="3588" width="17.5" style="801" customWidth="1"/>
    <col min="3589" max="3589" width="17.75" style="801" customWidth="1"/>
    <col min="3590" max="3840" width="9" style="801"/>
    <col min="3841" max="3841" width="19.875" style="801" customWidth="1"/>
    <col min="3842" max="3842" width="18.625" style="801" customWidth="1"/>
    <col min="3843" max="3843" width="18.625" style="801" bestFit="1" customWidth="1"/>
    <col min="3844" max="3844" width="17.5" style="801" customWidth="1"/>
    <col min="3845" max="3845" width="17.75" style="801" customWidth="1"/>
    <col min="3846" max="4096" width="9" style="801"/>
    <col min="4097" max="4097" width="19.875" style="801" customWidth="1"/>
    <col min="4098" max="4098" width="18.625" style="801" customWidth="1"/>
    <col min="4099" max="4099" width="18.625" style="801" bestFit="1" customWidth="1"/>
    <col min="4100" max="4100" width="17.5" style="801" customWidth="1"/>
    <col min="4101" max="4101" width="17.75" style="801" customWidth="1"/>
    <col min="4102" max="4352" width="9" style="801"/>
    <col min="4353" max="4353" width="19.875" style="801" customWidth="1"/>
    <col min="4354" max="4354" width="18.625" style="801" customWidth="1"/>
    <col min="4355" max="4355" width="18.625" style="801" bestFit="1" customWidth="1"/>
    <col min="4356" max="4356" width="17.5" style="801" customWidth="1"/>
    <col min="4357" max="4357" width="17.75" style="801" customWidth="1"/>
    <col min="4358" max="4608" width="9" style="801"/>
    <col min="4609" max="4609" width="19.875" style="801" customWidth="1"/>
    <col min="4610" max="4610" width="18.625" style="801" customWidth="1"/>
    <col min="4611" max="4611" width="18.625" style="801" bestFit="1" customWidth="1"/>
    <col min="4612" max="4612" width="17.5" style="801" customWidth="1"/>
    <col min="4613" max="4613" width="17.75" style="801" customWidth="1"/>
    <col min="4614" max="4864" width="9" style="801"/>
    <col min="4865" max="4865" width="19.875" style="801" customWidth="1"/>
    <col min="4866" max="4866" width="18.625" style="801" customWidth="1"/>
    <col min="4867" max="4867" width="18.625" style="801" bestFit="1" customWidth="1"/>
    <col min="4868" max="4868" width="17.5" style="801" customWidth="1"/>
    <col min="4869" max="4869" width="17.75" style="801" customWidth="1"/>
    <col min="4870" max="5120" width="9" style="801"/>
    <col min="5121" max="5121" width="19.875" style="801" customWidth="1"/>
    <col min="5122" max="5122" width="18.625" style="801" customWidth="1"/>
    <col min="5123" max="5123" width="18.625" style="801" bestFit="1" customWidth="1"/>
    <col min="5124" max="5124" width="17.5" style="801" customWidth="1"/>
    <col min="5125" max="5125" width="17.75" style="801" customWidth="1"/>
    <col min="5126" max="5376" width="9" style="801"/>
    <col min="5377" max="5377" width="19.875" style="801" customWidth="1"/>
    <col min="5378" max="5378" width="18.625" style="801" customWidth="1"/>
    <col min="5379" max="5379" width="18.625" style="801" bestFit="1" customWidth="1"/>
    <col min="5380" max="5380" width="17.5" style="801" customWidth="1"/>
    <col min="5381" max="5381" width="17.75" style="801" customWidth="1"/>
    <col min="5382" max="5632" width="9" style="801"/>
    <col min="5633" max="5633" width="19.875" style="801" customWidth="1"/>
    <col min="5634" max="5634" width="18.625" style="801" customWidth="1"/>
    <col min="5635" max="5635" width="18.625" style="801" bestFit="1" customWidth="1"/>
    <col min="5636" max="5636" width="17.5" style="801" customWidth="1"/>
    <col min="5637" max="5637" width="17.75" style="801" customWidth="1"/>
    <col min="5638" max="5888" width="9" style="801"/>
    <col min="5889" max="5889" width="19.875" style="801" customWidth="1"/>
    <col min="5890" max="5890" width="18.625" style="801" customWidth="1"/>
    <col min="5891" max="5891" width="18.625" style="801" bestFit="1" customWidth="1"/>
    <col min="5892" max="5892" width="17.5" style="801" customWidth="1"/>
    <col min="5893" max="5893" width="17.75" style="801" customWidth="1"/>
    <col min="5894" max="6144" width="9" style="801"/>
    <col min="6145" max="6145" width="19.875" style="801" customWidth="1"/>
    <col min="6146" max="6146" width="18.625" style="801" customWidth="1"/>
    <col min="6147" max="6147" width="18.625" style="801" bestFit="1" customWidth="1"/>
    <col min="6148" max="6148" width="17.5" style="801" customWidth="1"/>
    <col min="6149" max="6149" width="17.75" style="801" customWidth="1"/>
    <col min="6150" max="6400" width="9" style="801"/>
    <col min="6401" max="6401" width="19.875" style="801" customWidth="1"/>
    <col min="6402" max="6402" width="18.625" style="801" customWidth="1"/>
    <col min="6403" max="6403" width="18.625" style="801" bestFit="1" customWidth="1"/>
    <col min="6404" max="6404" width="17.5" style="801" customWidth="1"/>
    <col min="6405" max="6405" width="17.75" style="801" customWidth="1"/>
    <col min="6406" max="6656" width="9" style="801"/>
    <col min="6657" max="6657" width="19.875" style="801" customWidth="1"/>
    <col min="6658" max="6658" width="18.625" style="801" customWidth="1"/>
    <col min="6659" max="6659" width="18.625" style="801" bestFit="1" customWidth="1"/>
    <col min="6660" max="6660" width="17.5" style="801" customWidth="1"/>
    <col min="6661" max="6661" width="17.75" style="801" customWidth="1"/>
    <col min="6662" max="6912" width="9" style="801"/>
    <col min="6913" max="6913" width="19.875" style="801" customWidth="1"/>
    <col min="6914" max="6914" width="18.625" style="801" customWidth="1"/>
    <col min="6915" max="6915" width="18.625" style="801" bestFit="1" customWidth="1"/>
    <col min="6916" max="6916" width="17.5" style="801" customWidth="1"/>
    <col min="6917" max="6917" width="17.75" style="801" customWidth="1"/>
    <col min="6918" max="7168" width="9" style="801"/>
    <col min="7169" max="7169" width="19.875" style="801" customWidth="1"/>
    <col min="7170" max="7170" width="18.625" style="801" customWidth="1"/>
    <col min="7171" max="7171" width="18.625" style="801" bestFit="1" customWidth="1"/>
    <col min="7172" max="7172" width="17.5" style="801" customWidth="1"/>
    <col min="7173" max="7173" width="17.75" style="801" customWidth="1"/>
    <col min="7174" max="7424" width="9" style="801"/>
    <col min="7425" max="7425" width="19.875" style="801" customWidth="1"/>
    <col min="7426" max="7426" width="18.625" style="801" customWidth="1"/>
    <col min="7427" max="7427" width="18.625" style="801" bestFit="1" customWidth="1"/>
    <col min="7428" max="7428" width="17.5" style="801" customWidth="1"/>
    <col min="7429" max="7429" width="17.75" style="801" customWidth="1"/>
    <col min="7430" max="7680" width="9" style="801"/>
    <col min="7681" max="7681" width="19.875" style="801" customWidth="1"/>
    <col min="7682" max="7682" width="18.625" style="801" customWidth="1"/>
    <col min="7683" max="7683" width="18.625" style="801" bestFit="1" customWidth="1"/>
    <col min="7684" max="7684" width="17.5" style="801" customWidth="1"/>
    <col min="7685" max="7685" width="17.75" style="801" customWidth="1"/>
    <col min="7686" max="7936" width="9" style="801"/>
    <col min="7937" max="7937" width="19.875" style="801" customWidth="1"/>
    <col min="7938" max="7938" width="18.625" style="801" customWidth="1"/>
    <col min="7939" max="7939" width="18.625" style="801" bestFit="1" customWidth="1"/>
    <col min="7940" max="7940" width="17.5" style="801" customWidth="1"/>
    <col min="7941" max="7941" width="17.75" style="801" customWidth="1"/>
    <col min="7942" max="8192" width="9" style="801"/>
    <col min="8193" max="8193" width="19.875" style="801" customWidth="1"/>
    <col min="8194" max="8194" width="18.625" style="801" customWidth="1"/>
    <col min="8195" max="8195" width="18.625" style="801" bestFit="1" customWidth="1"/>
    <col min="8196" max="8196" width="17.5" style="801" customWidth="1"/>
    <col min="8197" max="8197" width="17.75" style="801" customWidth="1"/>
    <col min="8198" max="8448" width="9" style="801"/>
    <col min="8449" max="8449" width="19.875" style="801" customWidth="1"/>
    <col min="8450" max="8450" width="18.625" style="801" customWidth="1"/>
    <col min="8451" max="8451" width="18.625" style="801" bestFit="1" customWidth="1"/>
    <col min="8452" max="8452" width="17.5" style="801" customWidth="1"/>
    <col min="8453" max="8453" width="17.75" style="801" customWidth="1"/>
    <col min="8454" max="8704" width="9" style="801"/>
    <col min="8705" max="8705" width="19.875" style="801" customWidth="1"/>
    <col min="8706" max="8706" width="18.625" style="801" customWidth="1"/>
    <col min="8707" max="8707" width="18.625" style="801" bestFit="1" customWidth="1"/>
    <col min="8708" max="8708" width="17.5" style="801" customWidth="1"/>
    <col min="8709" max="8709" width="17.75" style="801" customWidth="1"/>
    <col min="8710" max="8960" width="9" style="801"/>
    <col min="8961" max="8961" width="19.875" style="801" customWidth="1"/>
    <col min="8962" max="8962" width="18.625" style="801" customWidth="1"/>
    <col min="8963" max="8963" width="18.625" style="801" bestFit="1" customWidth="1"/>
    <col min="8964" max="8964" width="17.5" style="801" customWidth="1"/>
    <col min="8965" max="8965" width="17.75" style="801" customWidth="1"/>
    <col min="8966" max="9216" width="9" style="801"/>
    <col min="9217" max="9217" width="19.875" style="801" customWidth="1"/>
    <col min="9218" max="9218" width="18.625" style="801" customWidth="1"/>
    <col min="9219" max="9219" width="18.625" style="801" bestFit="1" customWidth="1"/>
    <col min="9220" max="9220" width="17.5" style="801" customWidth="1"/>
    <col min="9221" max="9221" width="17.75" style="801" customWidth="1"/>
    <col min="9222" max="9472" width="9" style="801"/>
    <col min="9473" max="9473" width="19.875" style="801" customWidth="1"/>
    <col min="9474" max="9474" width="18.625" style="801" customWidth="1"/>
    <col min="9475" max="9475" width="18.625" style="801" bestFit="1" customWidth="1"/>
    <col min="9476" max="9476" width="17.5" style="801" customWidth="1"/>
    <col min="9477" max="9477" width="17.75" style="801" customWidth="1"/>
    <col min="9478" max="9728" width="9" style="801"/>
    <col min="9729" max="9729" width="19.875" style="801" customWidth="1"/>
    <col min="9730" max="9730" width="18.625" style="801" customWidth="1"/>
    <col min="9731" max="9731" width="18.625" style="801" bestFit="1" customWidth="1"/>
    <col min="9732" max="9732" width="17.5" style="801" customWidth="1"/>
    <col min="9733" max="9733" width="17.75" style="801" customWidth="1"/>
    <col min="9734" max="9984" width="9" style="801"/>
    <col min="9985" max="9985" width="19.875" style="801" customWidth="1"/>
    <col min="9986" max="9986" width="18.625" style="801" customWidth="1"/>
    <col min="9987" max="9987" width="18.625" style="801" bestFit="1" customWidth="1"/>
    <col min="9988" max="9988" width="17.5" style="801" customWidth="1"/>
    <col min="9989" max="9989" width="17.75" style="801" customWidth="1"/>
    <col min="9990" max="10240" width="9" style="801"/>
    <col min="10241" max="10241" width="19.875" style="801" customWidth="1"/>
    <col min="10242" max="10242" width="18.625" style="801" customWidth="1"/>
    <col min="10243" max="10243" width="18.625" style="801" bestFit="1" customWidth="1"/>
    <col min="10244" max="10244" width="17.5" style="801" customWidth="1"/>
    <col min="10245" max="10245" width="17.75" style="801" customWidth="1"/>
    <col min="10246" max="10496" width="9" style="801"/>
    <col min="10497" max="10497" width="19.875" style="801" customWidth="1"/>
    <col min="10498" max="10498" width="18.625" style="801" customWidth="1"/>
    <col min="10499" max="10499" width="18.625" style="801" bestFit="1" customWidth="1"/>
    <col min="10500" max="10500" width="17.5" style="801" customWidth="1"/>
    <col min="10501" max="10501" width="17.75" style="801" customWidth="1"/>
    <col min="10502" max="10752" width="9" style="801"/>
    <col min="10753" max="10753" width="19.875" style="801" customWidth="1"/>
    <col min="10754" max="10754" width="18.625" style="801" customWidth="1"/>
    <col min="10755" max="10755" width="18.625" style="801" bestFit="1" customWidth="1"/>
    <col min="10756" max="10756" width="17.5" style="801" customWidth="1"/>
    <col min="10757" max="10757" width="17.75" style="801" customWidth="1"/>
    <col min="10758" max="11008" width="9" style="801"/>
    <col min="11009" max="11009" width="19.875" style="801" customWidth="1"/>
    <col min="11010" max="11010" width="18.625" style="801" customWidth="1"/>
    <col min="11011" max="11011" width="18.625" style="801" bestFit="1" customWidth="1"/>
    <col min="11012" max="11012" width="17.5" style="801" customWidth="1"/>
    <col min="11013" max="11013" width="17.75" style="801" customWidth="1"/>
    <col min="11014" max="11264" width="9" style="801"/>
    <col min="11265" max="11265" width="19.875" style="801" customWidth="1"/>
    <col min="11266" max="11266" width="18.625" style="801" customWidth="1"/>
    <col min="11267" max="11267" width="18.625" style="801" bestFit="1" customWidth="1"/>
    <col min="11268" max="11268" width="17.5" style="801" customWidth="1"/>
    <col min="11269" max="11269" width="17.75" style="801" customWidth="1"/>
    <col min="11270" max="11520" width="9" style="801"/>
    <col min="11521" max="11521" width="19.875" style="801" customWidth="1"/>
    <col min="11522" max="11522" width="18.625" style="801" customWidth="1"/>
    <col min="11523" max="11523" width="18.625" style="801" bestFit="1" customWidth="1"/>
    <col min="11524" max="11524" width="17.5" style="801" customWidth="1"/>
    <col min="11525" max="11525" width="17.75" style="801" customWidth="1"/>
    <col min="11526" max="11776" width="9" style="801"/>
    <col min="11777" max="11777" width="19.875" style="801" customWidth="1"/>
    <col min="11778" max="11778" width="18.625" style="801" customWidth="1"/>
    <col min="11779" max="11779" width="18.625" style="801" bestFit="1" customWidth="1"/>
    <col min="11780" max="11780" width="17.5" style="801" customWidth="1"/>
    <col min="11781" max="11781" width="17.75" style="801" customWidth="1"/>
    <col min="11782" max="12032" width="9" style="801"/>
    <col min="12033" max="12033" width="19.875" style="801" customWidth="1"/>
    <col min="12034" max="12034" width="18.625" style="801" customWidth="1"/>
    <col min="12035" max="12035" width="18.625" style="801" bestFit="1" customWidth="1"/>
    <col min="12036" max="12036" width="17.5" style="801" customWidth="1"/>
    <col min="12037" max="12037" width="17.75" style="801" customWidth="1"/>
    <col min="12038" max="12288" width="9" style="801"/>
    <col min="12289" max="12289" width="19.875" style="801" customWidth="1"/>
    <col min="12290" max="12290" width="18.625" style="801" customWidth="1"/>
    <col min="12291" max="12291" width="18.625" style="801" bestFit="1" customWidth="1"/>
    <col min="12292" max="12292" width="17.5" style="801" customWidth="1"/>
    <col min="12293" max="12293" width="17.75" style="801" customWidth="1"/>
    <col min="12294" max="12544" width="9" style="801"/>
    <col min="12545" max="12545" width="19.875" style="801" customWidth="1"/>
    <col min="12546" max="12546" width="18.625" style="801" customWidth="1"/>
    <col min="12547" max="12547" width="18.625" style="801" bestFit="1" customWidth="1"/>
    <col min="12548" max="12548" width="17.5" style="801" customWidth="1"/>
    <col min="12549" max="12549" width="17.75" style="801" customWidth="1"/>
    <col min="12550" max="12800" width="9" style="801"/>
    <col min="12801" max="12801" width="19.875" style="801" customWidth="1"/>
    <col min="12802" max="12802" width="18.625" style="801" customWidth="1"/>
    <col min="12803" max="12803" width="18.625" style="801" bestFit="1" customWidth="1"/>
    <col min="12804" max="12804" width="17.5" style="801" customWidth="1"/>
    <col min="12805" max="12805" width="17.75" style="801" customWidth="1"/>
    <col min="12806" max="13056" width="9" style="801"/>
    <col min="13057" max="13057" width="19.875" style="801" customWidth="1"/>
    <col min="13058" max="13058" width="18.625" style="801" customWidth="1"/>
    <col min="13059" max="13059" width="18.625" style="801" bestFit="1" customWidth="1"/>
    <col min="13060" max="13060" width="17.5" style="801" customWidth="1"/>
    <col min="13061" max="13061" width="17.75" style="801" customWidth="1"/>
    <col min="13062" max="13312" width="9" style="801"/>
    <col min="13313" max="13313" width="19.875" style="801" customWidth="1"/>
    <col min="13314" max="13314" width="18.625" style="801" customWidth="1"/>
    <col min="13315" max="13315" width="18.625" style="801" bestFit="1" customWidth="1"/>
    <col min="13316" max="13316" width="17.5" style="801" customWidth="1"/>
    <col min="13317" max="13317" width="17.75" style="801" customWidth="1"/>
    <col min="13318" max="13568" width="9" style="801"/>
    <col min="13569" max="13569" width="19.875" style="801" customWidth="1"/>
    <col min="13570" max="13570" width="18.625" style="801" customWidth="1"/>
    <col min="13571" max="13571" width="18.625" style="801" bestFit="1" customWidth="1"/>
    <col min="13572" max="13572" width="17.5" style="801" customWidth="1"/>
    <col min="13573" max="13573" width="17.75" style="801" customWidth="1"/>
    <col min="13574" max="13824" width="9" style="801"/>
    <col min="13825" max="13825" width="19.875" style="801" customWidth="1"/>
    <col min="13826" max="13826" width="18.625" style="801" customWidth="1"/>
    <col min="13827" max="13827" width="18.625" style="801" bestFit="1" customWidth="1"/>
    <col min="13828" max="13828" width="17.5" style="801" customWidth="1"/>
    <col min="13829" max="13829" width="17.75" style="801" customWidth="1"/>
    <col min="13830" max="14080" width="9" style="801"/>
    <col min="14081" max="14081" width="19.875" style="801" customWidth="1"/>
    <col min="14082" max="14082" width="18.625" style="801" customWidth="1"/>
    <col min="14083" max="14083" width="18.625" style="801" bestFit="1" customWidth="1"/>
    <col min="14084" max="14084" width="17.5" style="801" customWidth="1"/>
    <col min="14085" max="14085" width="17.75" style="801" customWidth="1"/>
    <col min="14086" max="14336" width="9" style="801"/>
    <col min="14337" max="14337" width="19.875" style="801" customWidth="1"/>
    <col min="14338" max="14338" width="18.625" style="801" customWidth="1"/>
    <col min="14339" max="14339" width="18.625" style="801" bestFit="1" customWidth="1"/>
    <col min="14340" max="14340" width="17.5" style="801" customWidth="1"/>
    <col min="14341" max="14341" width="17.75" style="801" customWidth="1"/>
    <col min="14342" max="14592" width="9" style="801"/>
    <col min="14593" max="14593" width="19.875" style="801" customWidth="1"/>
    <col min="14594" max="14594" width="18.625" style="801" customWidth="1"/>
    <col min="14595" max="14595" width="18.625" style="801" bestFit="1" customWidth="1"/>
    <col min="14596" max="14596" width="17.5" style="801" customWidth="1"/>
    <col min="14597" max="14597" width="17.75" style="801" customWidth="1"/>
    <col min="14598" max="14848" width="9" style="801"/>
    <col min="14849" max="14849" width="19.875" style="801" customWidth="1"/>
    <col min="14850" max="14850" width="18.625" style="801" customWidth="1"/>
    <col min="14851" max="14851" width="18.625" style="801" bestFit="1" customWidth="1"/>
    <col min="14852" max="14852" width="17.5" style="801" customWidth="1"/>
    <col min="14853" max="14853" width="17.75" style="801" customWidth="1"/>
    <col min="14854" max="15104" width="9" style="801"/>
    <col min="15105" max="15105" width="19.875" style="801" customWidth="1"/>
    <col min="15106" max="15106" width="18.625" style="801" customWidth="1"/>
    <col min="15107" max="15107" width="18.625" style="801" bestFit="1" customWidth="1"/>
    <col min="15108" max="15108" width="17.5" style="801" customWidth="1"/>
    <col min="15109" max="15109" width="17.75" style="801" customWidth="1"/>
    <col min="15110" max="15360" width="9" style="801"/>
    <col min="15361" max="15361" width="19.875" style="801" customWidth="1"/>
    <col min="15362" max="15362" width="18.625" style="801" customWidth="1"/>
    <col min="15363" max="15363" width="18.625" style="801" bestFit="1" customWidth="1"/>
    <col min="15364" max="15364" width="17.5" style="801" customWidth="1"/>
    <col min="15365" max="15365" width="17.75" style="801" customWidth="1"/>
    <col min="15366" max="15616" width="9" style="801"/>
    <col min="15617" max="15617" width="19.875" style="801" customWidth="1"/>
    <col min="15618" max="15618" width="18.625" style="801" customWidth="1"/>
    <col min="15619" max="15619" width="18.625" style="801" bestFit="1" customWidth="1"/>
    <col min="15620" max="15620" width="17.5" style="801" customWidth="1"/>
    <col min="15621" max="15621" width="17.75" style="801" customWidth="1"/>
    <col min="15622" max="15872" width="9" style="801"/>
    <col min="15873" max="15873" width="19.875" style="801" customWidth="1"/>
    <col min="15874" max="15874" width="18.625" style="801" customWidth="1"/>
    <col min="15875" max="15875" width="18.625" style="801" bestFit="1" customWidth="1"/>
    <col min="15876" max="15876" width="17.5" style="801" customWidth="1"/>
    <col min="15877" max="15877" width="17.75" style="801" customWidth="1"/>
    <col min="15878" max="16128" width="9" style="801"/>
    <col min="16129" max="16129" width="19.875" style="801" customWidth="1"/>
    <col min="16130" max="16130" width="18.625" style="801" customWidth="1"/>
    <col min="16131" max="16131" width="18.625" style="801" bestFit="1" customWidth="1"/>
    <col min="16132" max="16132" width="17.5" style="801" customWidth="1"/>
    <col min="16133" max="16133" width="17.75" style="801" customWidth="1"/>
    <col min="16134" max="16384" width="9" style="801"/>
  </cols>
  <sheetData>
    <row r="1" spans="1:5" s="790" customFormat="1" ht="39.950000000000003" customHeight="1" thickBot="1">
      <c r="A1" s="1517" t="s">
        <v>1355</v>
      </c>
      <c r="B1" s="1518"/>
      <c r="C1" s="1518"/>
      <c r="D1" s="1519"/>
    </row>
    <row r="2" spans="1:5" s="790" customFormat="1" ht="20.100000000000001" customHeight="1">
      <c r="A2" s="791" t="s">
        <v>1356</v>
      </c>
      <c r="B2" s="792" t="s">
        <v>1357</v>
      </c>
      <c r="C2" s="792" t="s">
        <v>1358</v>
      </c>
      <c r="D2" s="793" t="s">
        <v>1359</v>
      </c>
    </row>
    <row r="3" spans="1:5" s="798" customFormat="1" ht="20.100000000000001" customHeight="1">
      <c r="A3" s="794" t="s">
        <v>1360</v>
      </c>
      <c r="B3" s="795">
        <v>1.2</v>
      </c>
      <c r="C3" s="796"/>
      <c r="D3" s="797">
        <f>B3*C3</f>
        <v>0</v>
      </c>
    </row>
    <row r="4" spans="1:5" ht="20.100000000000001" customHeight="1">
      <c r="A4" s="799" t="s">
        <v>1001</v>
      </c>
      <c r="B4" s="800">
        <v>0.5</v>
      </c>
      <c r="C4" s="796"/>
      <c r="D4" s="797">
        <f>B4*C4</f>
        <v>0</v>
      </c>
    </row>
    <row r="5" spans="1:5" ht="20.100000000000001" customHeight="1">
      <c r="A5" s="799" t="s">
        <v>1361</v>
      </c>
      <c r="B5" s="800">
        <v>0.5</v>
      </c>
      <c r="C5" s="796"/>
      <c r="D5" s="797">
        <f>B5*C5</f>
        <v>0</v>
      </c>
    </row>
    <row r="6" spans="1:5" ht="20.100000000000001" customHeight="1">
      <c r="A6" s="799" t="s">
        <v>1362</v>
      </c>
      <c r="B6" s="800">
        <v>0.4</v>
      </c>
      <c r="C6" s="796"/>
      <c r="D6" s="797">
        <f>B6*C6</f>
        <v>0</v>
      </c>
    </row>
    <row r="7" spans="1:5" ht="20.100000000000001" customHeight="1">
      <c r="A7" s="799" t="s">
        <v>1363</v>
      </c>
      <c r="B7" s="800">
        <v>0.3</v>
      </c>
      <c r="C7" s="796"/>
      <c r="D7" s="797">
        <f>B7*C7</f>
        <v>0</v>
      </c>
    </row>
    <row r="8" spans="1:5" ht="20.100000000000001" customHeight="1">
      <c r="A8" s="802" t="s">
        <v>747</v>
      </c>
      <c r="B8" s="803" t="s">
        <v>30</v>
      </c>
      <c r="C8" s="804">
        <f>SUM(C3:C7)</f>
        <v>0</v>
      </c>
      <c r="D8" s="805">
        <f>SUM(D3:D7)</f>
        <v>0</v>
      </c>
    </row>
    <row r="9" spans="1:5" ht="30" customHeight="1" thickBot="1">
      <c r="A9" s="806" t="s">
        <v>748</v>
      </c>
      <c r="B9" s="1520" t="s">
        <v>1364</v>
      </c>
      <c r="C9" s="1520"/>
      <c r="D9" s="1521"/>
    </row>
    <row r="10" spans="1:5" ht="18" customHeight="1">
      <c r="A10" s="1522"/>
      <c r="B10" s="1522"/>
      <c r="C10" s="1522"/>
      <c r="D10" s="1522"/>
      <c r="E10" s="1522"/>
    </row>
  </sheetData>
  <mergeCells count="3">
    <mergeCell ref="A1:D1"/>
    <mergeCell ref="B9:D9"/>
    <mergeCell ref="A10:E10"/>
  </mergeCells>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E16" sqref="E16"/>
    </sheetView>
  </sheetViews>
  <sheetFormatPr defaultRowHeight="13.5"/>
  <cols>
    <col min="1" max="1" width="12.125" customWidth="1"/>
    <col min="2" max="2" width="8.375" customWidth="1"/>
    <col min="3" max="4" width="15.75" customWidth="1"/>
    <col min="5" max="5" width="19" customWidth="1"/>
    <col min="6" max="6" width="16.375" customWidth="1"/>
    <col min="7" max="7" width="16.625" customWidth="1"/>
    <col min="8" max="8" width="21.75" customWidth="1"/>
    <col min="9" max="9" width="15" customWidth="1"/>
    <col min="10" max="10" width="9" customWidth="1"/>
    <col min="255" max="255" width="12.125" customWidth="1"/>
    <col min="256" max="256" width="8.375" customWidth="1"/>
    <col min="257" max="259" width="15.75" customWidth="1"/>
    <col min="260" max="260" width="19" customWidth="1"/>
    <col min="261" max="261" width="16.375" customWidth="1"/>
    <col min="262" max="262" width="16.625" customWidth="1"/>
    <col min="263" max="263" width="21.75" customWidth="1"/>
    <col min="264" max="264" width="15" customWidth="1"/>
    <col min="265" max="265" width="9" customWidth="1"/>
    <col min="266" max="266" width="12.625" bestFit="1" customWidth="1"/>
    <col min="511" max="511" width="12.125" customWidth="1"/>
    <col min="512" max="512" width="8.375" customWidth="1"/>
    <col min="513" max="515" width="15.75" customWidth="1"/>
    <col min="516" max="516" width="19" customWidth="1"/>
    <col min="517" max="517" width="16.375" customWidth="1"/>
    <col min="518" max="518" width="16.625" customWidth="1"/>
    <col min="519" max="519" width="21.75" customWidth="1"/>
    <col min="520" max="520" width="15" customWidth="1"/>
    <col min="521" max="521" width="9" customWidth="1"/>
    <col min="522" max="522" width="12.625" bestFit="1" customWidth="1"/>
    <col min="767" max="767" width="12.125" customWidth="1"/>
    <col min="768" max="768" width="8.375" customWidth="1"/>
    <col min="769" max="771" width="15.75" customWidth="1"/>
    <col min="772" max="772" width="19" customWidth="1"/>
    <col min="773" max="773" width="16.375" customWidth="1"/>
    <col min="774" max="774" width="16.625" customWidth="1"/>
    <col min="775" max="775" width="21.75" customWidth="1"/>
    <col min="776" max="776" width="15" customWidth="1"/>
    <col min="777" max="777" width="9" customWidth="1"/>
    <col min="778" max="778" width="12.625" bestFit="1" customWidth="1"/>
    <col min="1023" max="1023" width="12.125" customWidth="1"/>
    <col min="1024" max="1024" width="8.375" customWidth="1"/>
    <col min="1025" max="1027" width="15.75" customWidth="1"/>
    <col min="1028" max="1028" width="19" customWidth="1"/>
    <col min="1029" max="1029" width="16.375" customWidth="1"/>
    <col min="1030" max="1030" width="16.625" customWidth="1"/>
    <col min="1031" max="1031" width="21.75" customWidth="1"/>
    <col min="1032" max="1032" width="15" customWidth="1"/>
    <col min="1033" max="1033" width="9" customWidth="1"/>
    <col min="1034" max="1034" width="12.625" bestFit="1" customWidth="1"/>
    <col min="1279" max="1279" width="12.125" customWidth="1"/>
    <col min="1280" max="1280" width="8.375" customWidth="1"/>
    <col min="1281" max="1283" width="15.75" customWidth="1"/>
    <col min="1284" max="1284" width="19" customWidth="1"/>
    <col min="1285" max="1285" width="16.375" customWidth="1"/>
    <col min="1286" max="1286" width="16.625" customWidth="1"/>
    <col min="1287" max="1287" width="21.75" customWidth="1"/>
    <col min="1288" max="1288" width="15" customWidth="1"/>
    <col min="1289" max="1289" width="9" customWidth="1"/>
    <col min="1290" max="1290" width="12.625" bestFit="1" customWidth="1"/>
    <col min="1535" max="1535" width="12.125" customWidth="1"/>
    <col min="1536" max="1536" width="8.375" customWidth="1"/>
    <col min="1537" max="1539" width="15.75" customWidth="1"/>
    <col min="1540" max="1540" width="19" customWidth="1"/>
    <col min="1541" max="1541" width="16.375" customWidth="1"/>
    <col min="1542" max="1542" width="16.625" customWidth="1"/>
    <col min="1543" max="1543" width="21.75" customWidth="1"/>
    <col min="1544" max="1544" width="15" customWidth="1"/>
    <col min="1545" max="1545" width="9" customWidth="1"/>
    <col min="1546" max="1546" width="12.625" bestFit="1" customWidth="1"/>
    <col min="1791" max="1791" width="12.125" customWidth="1"/>
    <col min="1792" max="1792" width="8.375" customWidth="1"/>
    <col min="1793" max="1795" width="15.75" customWidth="1"/>
    <col min="1796" max="1796" width="19" customWidth="1"/>
    <col min="1797" max="1797" width="16.375" customWidth="1"/>
    <col min="1798" max="1798" width="16.625" customWidth="1"/>
    <col min="1799" max="1799" width="21.75" customWidth="1"/>
    <col min="1800" max="1800" width="15" customWidth="1"/>
    <col min="1801" max="1801" width="9" customWidth="1"/>
    <col min="1802" max="1802" width="12.625" bestFit="1" customWidth="1"/>
    <col min="2047" max="2047" width="12.125" customWidth="1"/>
    <col min="2048" max="2048" width="8.375" customWidth="1"/>
    <col min="2049" max="2051" width="15.75" customWidth="1"/>
    <col min="2052" max="2052" width="19" customWidth="1"/>
    <col min="2053" max="2053" width="16.375" customWidth="1"/>
    <col min="2054" max="2054" width="16.625" customWidth="1"/>
    <col min="2055" max="2055" width="21.75" customWidth="1"/>
    <col min="2056" max="2056" width="15" customWidth="1"/>
    <col min="2057" max="2057" width="9" customWidth="1"/>
    <col min="2058" max="2058" width="12.625" bestFit="1" customWidth="1"/>
    <col min="2303" max="2303" width="12.125" customWidth="1"/>
    <col min="2304" max="2304" width="8.375" customWidth="1"/>
    <col min="2305" max="2307" width="15.75" customWidth="1"/>
    <col min="2308" max="2308" width="19" customWidth="1"/>
    <col min="2309" max="2309" width="16.375" customWidth="1"/>
    <col min="2310" max="2310" width="16.625" customWidth="1"/>
    <col min="2311" max="2311" width="21.75" customWidth="1"/>
    <col min="2312" max="2312" width="15" customWidth="1"/>
    <col min="2313" max="2313" width="9" customWidth="1"/>
    <col min="2314" max="2314" width="12.625" bestFit="1" customWidth="1"/>
    <col min="2559" max="2559" width="12.125" customWidth="1"/>
    <col min="2560" max="2560" width="8.375" customWidth="1"/>
    <col min="2561" max="2563" width="15.75" customWidth="1"/>
    <col min="2564" max="2564" width="19" customWidth="1"/>
    <col min="2565" max="2565" width="16.375" customWidth="1"/>
    <col min="2566" max="2566" width="16.625" customWidth="1"/>
    <col min="2567" max="2567" width="21.75" customWidth="1"/>
    <col min="2568" max="2568" width="15" customWidth="1"/>
    <col min="2569" max="2569" width="9" customWidth="1"/>
    <col min="2570" max="2570" width="12.625" bestFit="1" customWidth="1"/>
    <col min="2815" max="2815" width="12.125" customWidth="1"/>
    <col min="2816" max="2816" width="8.375" customWidth="1"/>
    <col min="2817" max="2819" width="15.75" customWidth="1"/>
    <col min="2820" max="2820" width="19" customWidth="1"/>
    <col min="2821" max="2821" width="16.375" customWidth="1"/>
    <col min="2822" max="2822" width="16.625" customWidth="1"/>
    <col min="2823" max="2823" width="21.75" customWidth="1"/>
    <col min="2824" max="2824" width="15" customWidth="1"/>
    <col min="2825" max="2825" width="9" customWidth="1"/>
    <col min="2826" max="2826" width="12.625" bestFit="1" customWidth="1"/>
    <col min="3071" max="3071" width="12.125" customWidth="1"/>
    <col min="3072" max="3072" width="8.375" customWidth="1"/>
    <col min="3073" max="3075" width="15.75" customWidth="1"/>
    <col min="3076" max="3076" width="19" customWidth="1"/>
    <col min="3077" max="3077" width="16.375" customWidth="1"/>
    <col min="3078" max="3078" width="16.625" customWidth="1"/>
    <col min="3079" max="3079" width="21.75" customWidth="1"/>
    <col min="3080" max="3080" width="15" customWidth="1"/>
    <col min="3081" max="3081" width="9" customWidth="1"/>
    <col min="3082" max="3082" width="12.625" bestFit="1" customWidth="1"/>
    <col min="3327" max="3327" width="12.125" customWidth="1"/>
    <col min="3328" max="3328" width="8.375" customWidth="1"/>
    <col min="3329" max="3331" width="15.75" customWidth="1"/>
    <col min="3332" max="3332" width="19" customWidth="1"/>
    <col min="3333" max="3333" width="16.375" customWidth="1"/>
    <col min="3334" max="3334" width="16.625" customWidth="1"/>
    <col min="3335" max="3335" width="21.75" customWidth="1"/>
    <col min="3336" max="3336" width="15" customWidth="1"/>
    <col min="3337" max="3337" width="9" customWidth="1"/>
    <col min="3338" max="3338" width="12.625" bestFit="1" customWidth="1"/>
    <col min="3583" max="3583" width="12.125" customWidth="1"/>
    <col min="3584" max="3584" width="8.375" customWidth="1"/>
    <col min="3585" max="3587" width="15.75" customWidth="1"/>
    <col min="3588" max="3588" width="19" customWidth="1"/>
    <col min="3589" max="3589" width="16.375" customWidth="1"/>
    <col min="3590" max="3590" width="16.625" customWidth="1"/>
    <col min="3591" max="3591" width="21.75" customWidth="1"/>
    <col min="3592" max="3592" width="15" customWidth="1"/>
    <col min="3593" max="3593" width="9" customWidth="1"/>
    <col min="3594" max="3594" width="12.625" bestFit="1" customWidth="1"/>
    <col min="3839" max="3839" width="12.125" customWidth="1"/>
    <col min="3840" max="3840" width="8.375" customWidth="1"/>
    <col min="3841" max="3843" width="15.75" customWidth="1"/>
    <col min="3844" max="3844" width="19" customWidth="1"/>
    <col min="3845" max="3845" width="16.375" customWidth="1"/>
    <col min="3846" max="3846" width="16.625" customWidth="1"/>
    <col min="3847" max="3847" width="21.75" customWidth="1"/>
    <col min="3848" max="3848" width="15" customWidth="1"/>
    <col min="3849" max="3849" width="9" customWidth="1"/>
    <col min="3850" max="3850" width="12.625" bestFit="1" customWidth="1"/>
    <col min="4095" max="4095" width="12.125" customWidth="1"/>
    <col min="4096" max="4096" width="8.375" customWidth="1"/>
    <col min="4097" max="4099" width="15.75" customWidth="1"/>
    <col min="4100" max="4100" width="19" customWidth="1"/>
    <col min="4101" max="4101" width="16.375" customWidth="1"/>
    <col min="4102" max="4102" width="16.625" customWidth="1"/>
    <col min="4103" max="4103" width="21.75" customWidth="1"/>
    <col min="4104" max="4104" width="15" customWidth="1"/>
    <col min="4105" max="4105" width="9" customWidth="1"/>
    <col min="4106" max="4106" width="12.625" bestFit="1" customWidth="1"/>
    <col min="4351" max="4351" width="12.125" customWidth="1"/>
    <col min="4352" max="4352" width="8.375" customWidth="1"/>
    <col min="4353" max="4355" width="15.75" customWidth="1"/>
    <col min="4356" max="4356" width="19" customWidth="1"/>
    <col min="4357" max="4357" width="16.375" customWidth="1"/>
    <col min="4358" max="4358" width="16.625" customWidth="1"/>
    <col min="4359" max="4359" width="21.75" customWidth="1"/>
    <col min="4360" max="4360" width="15" customWidth="1"/>
    <col min="4361" max="4361" width="9" customWidth="1"/>
    <col min="4362" max="4362" width="12.625" bestFit="1" customWidth="1"/>
    <col min="4607" max="4607" width="12.125" customWidth="1"/>
    <col min="4608" max="4608" width="8.375" customWidth="1"/>
    <col min="4609" max="4611" width="15.75" customWidth="1"/>
    <col min="4612" max="4612" width="19" customWidth="1"/>
    <col min="4613" max="4613" width="16.375" customWidth="1"/>
    <col min="4614" max="4614" width="16.625" customWidth="1"/>
    <col min="4615" max="4615" width="21.75" customWidth="1"/>
    <col min="4616" max="4616" width="15" customWidth="1"/>
    <col min="4617" max="4617" width="9" customWidth="1"/>
    <col min="4618" max="4618" width="12.625" bestFit="1" customWidth="1"/>
    <col min="4863" max="4863" width="12.125" customWidth="1"/>
    <col min="4864" max="4864" width="8.375" customWidth="1"/>
    <col min="4865" max="4867" width="15.75" customWidth="1"/>
    <col min="4868" max="4868" width="19" customWidth="1"/>
    <col min="4869" max="4869" width="16.375" customWidth="1"/>
    <col min="4870" max="4870" width="16.625" customWidth="1"/>
    <col min="4871" max="4871" width="21.75" customWidth="1"/>
    <col min="4872" max="4872" width="15" customWidth="1"/>
    <col min="4873" max="4873" width="9" customWidth="1"/>
    <col min="4874" max="4874" width="12.625" bestFit="1" customWidth="1"/>
    <col min="5119" max="5119" width="12.125" customWidth="1"/>
    <col min="5120" max="5120" width="8.375" customWidth="1"/>
    <col min="5121" max="5123" width="15.75" customWidth="1"/>
    <col min="5124" max="5124" width="19" customWidth="1"/>
    <col min="5125" max="5125" width="16.375" customWidth="1"/>
    <col min="5126" max="5126" width="16.625" customWidth="1"/>
    <col min="5127" max="5127" width="21.75" customWidth="1"/>
    <col min="5128" max="5128" width="15" customWidth="1"/>
    <col min="5129" max="5129" width="9" customWidth="1"/>
    <col min="5130" max="5130" width="12.625" bestFit="1" customWidth="1"/>
    <col min="5375" max="5375" width="12.125" customWidth="1"/>
    <col min="5376" max="5376" width="8.375" customWidth="1"/>
    <col min="5377" max="5379" width="15.75" customWidth="1"/>
    <col min="5380" max="5380" width="19" customWidth="1"/>
    <col min="5381" max="5381" width="16.375" customWidth="1"/>
    <col min="5382" max="5382" width="16.625" customWidth="1"/>
    <col min="5383" max="5383" width="21.75" customWidth="1"/>
    <col min="5384" max="5384" width="15" customWidth="1"/>
    <col min="5385" max="5385" width="9" customWidth="1"/>
    <col min="5386" max="5386" width="12.625" bestFit="1" customWidth="1"/>
    <col min="5631" max="5631" width="12.125" customWidth="1"/>
    <col min="5632" max="5632" width="8.375" customWidth="1"/>
    <col min="5633" max="5635" width="15.75" customWidth="1"/>
    <col min="5636" max="5636" width="19" customWidth="1"/>
    <col min="5637" max="5637" width="16.375" customWidth="1"/>
    <col min="5638" max="5638" width="16.625" customWidth="1"/>
    <col min="5639" max="5639" width="21.75" customWidth="1"/>
    <col min="5640" max="5640" width="15" customWidth="1"/>
    <col min="5641" max="5641" width="9" customWidth="1"/>
    <col min="5642" max="5642" width="12.625" bestFit="1" customWidth="1"/>
    <col min="5887" max="5887" width="12.125" customWidth="1"/>
    <col min="5888" max="5888" width="8.375" customWidth="1"/>
    <col min="5889" max="5891" width="15.75" customWidth="1"/>
    <col min="5892" max="5892" width="19" customWidth="1"/>
    <col min="5893" max="5893" width="16.375" customWidth="1"/>
    <col min="5894" max="5894" width="16.625" customWidth="1"/>
    <col min="5895" max="5895" width="21.75" customWidth="1"/>
    <col min="5896" max="5896" width="15" customWidth="1"/>
    <col min="5897" max="5897" width="9" customWidth="1"/>
    <col min="5898" max="5898" width="12.625" bestFit="1" customWidth="1"/>
    <col min="6143" max="6143" width="12.125" customWidth="1"/>
    <col min="6144" max="6144" width="8.375" customWidth="1"/>
    <col min="6145" max="6147" width="15.75" customWidth="1"/>
    <col min="6148" max="6148" width="19" customWidth="1"/>
    <col min="6149" max="6149" width="16.375" customWidth="1"/>
    <col min="6150" max="6150" width="16.625" customWidth="1"/>
    <col min="6151" max="6151" width="21.75" customWidth="1"/>
    <col min="6152" max="6152" width="15" customWidth="1"/>
    <col min="6153" max="6153" width="9" customWidth="1"/>
    <col min="6154" max="6154" width="12.625" bestFit="1" customWidth="1"/>
    <col min="6399" max="6399" width="12.125" customWidth="1"/>
    <col min="6400" max="6400" width="8.375" customWidth="1"/>
    <col min="6401" max="6403" width="15.75" customWidth="1"/>
    <col min="6404" max="6404" width="19" customWidth="1"/>
    <col min="6405" max="6405" width="16.375" customWidth="1"/>
    <col min="6406" max="6406" width="16.625" customWidth="1"/>
    <col min="6407" max="6407" width="21.75" customWidth="1"/>
    <col min="6408" max="6408" width="15" customWidth="1"/>
    <col min="6409" max="6409" width="9" customWidth="1"/>
    <col min="6410" max="6410" width="12.625" bestFit="1" customWidth="1"/>
    <col min="6655" max="6655" width="12.125" customWidth="1"/>
    <col min="6656" max="6656" width="8.375" customWidth="1"/>
    <col min="6657" max="6659" width="15.75" customWidth="1"/>
    <col min="6660" max="6660" width="19" customWidth="1"/>
    <col min="6661" max="6661" width="16.375" customWidth="1"/>
    <col min="6662" max="6662" width="16.625" customWidth="1"/>
    <col min="6663" max="6663" width="21.75" customWidth="1"/>
    <col min="6664" max="6664" width="15" customWidth="1"/>
    <col min="6665" max="6665" width="9" customWidth="1"/>
    <col min="6666" max="6666" width="12.625" bestFit="1" customWidth="1"/>
    <col min="6911" max="6911" width="12.125" customWidth="1"/>
    <col min="6912" max="6912" width="8.375" customWidth="1"/>
    <col min="6913" max="6915" width="15.75" customWidth="1"/>
    <col min="6916" max="6916" width="19" customWidth="1"/>
    <col min="6917" max="6917" width="16.375" customWidth="1"/>
    <col min="6918" max="6918" width="16.625" customWidth="1"/>
    <col min="6919" max="6919" width="21.75" customWidth="1"/>
    <col min="6920" max="6920" width="15" customWidth="1"/>
    <col min="6921" max="6921" width="9" customWidth="1"/>
    <col min="6922" max="6922" width="12.625" bestFit="1" customWidth="1"/>
    <col min="7167" max="7167" width="12.125" customWidth="1"/>
    <col min="7168" max="7168" width="8.375" customWidth="1"/>
    <col min="7169" max="7171" width="15.75" customWidth="1"/>
    <col min="7172" max="7172" width="19" customWidth="1"/>
    <col min="7173" max="7173" width="16.375" customWidth="1"/>
    <col min="7174" max="7174" width="16.625" customWidth="1"/>
    <col min="7175" max="7175" width="21.75" customWidth="1"/>
    <col min="7176" max="7176" width="15" customWidth="1"/>
    <col min="7177" max="7177" width="9" customWidth="1"/>
    <col min="7178" max="7178" width="12.625" bestFit="1" customWidth="1"/>
    <col min="7423" max="7423" width="12.125" customWidth="1"/>
    <col min="7424" max="7424" width="8.375" customWidth="1"/>
    <col min="7425" max="7427" width="15.75" customWidth="1"/>
    <col min="7428" max="7428" width="19" customWidth="1"/>
    <col min="7429" max="7429" width="16.375" customWidth="1"/>
    <col min="7430" max="7430" width="16.625" customWidth="1"/>
    <col min="7431" max="7431" width="21.75" customWidth="1"/>
    <col min="7432" max="7432" width="15" customWidth="1"/>
    <col min="7433" max="7433" width="9" customWidth="1"/>
    <col min="7434" max="7434" width="12.625" bestFit="1" customWidth="1"/>
    <col min="7679" max="7679" width="12.125" customWidth="1"/>
    <col min="7680" max="7680" width="8.375" customWidth="1"/>
    <col min="7681" max="7683" width="15.75" customWidth="1"/>
    <col min="7684" max="7684" width="19" customWidth="1"/>
    <col min="7685" max="7685" width="16.375" customWidth="1"/>
    <col min="7686" max="7686" width="16.625" customWidth="1"/>
    <col min="7687" max="7687" width="21.75" customWidth="1"/>
    <col min="7688" max="7688" width="15" customWidth="1"/>
    <col min="7689" max="7689" width="9" customWidth="1"/>
    <col min="7690" max="7690" width="12.625" bestFit="1" customWidth="1"/>
    <col min="7935" max="7935" width="12.125" customWidth="1"/>
    <col min="7936" max="7936" width="8.375" customWidth="1"/>
    <col min="7937" max="7939" width="15.75" customWidth="1"/>
    <col min="7940" max="7940" width="19" customWidth="1"/>
    <col min="7941" max="7941" width="16.375" customWidth="1"/>
    <col min="7942" max="7942" width="16.625" customWidth="1"/>
    <col min="7943" max="7943" width="21.75" customWidth="1"/>
    <col min="7944" max="7944" width="15" customWidth="1"/>
    <col min="7945" max="7945" width="9" customWidth="1"/>
    <col min="7946" max="7946" width="12.625" bestFit="1" customWidth="1"/>
    <col min="8191" max="8191" width="12.125" customWidth="1"/>
    <col min="8192" max="8192" width="8.375" customWidth="1"/>
    <col min="8193" max="8195" width="15.75" customWidth="1"/>
    <col min="8196" max="8196" width="19" customWidth="1"/>
    <col min="8197" max="8197" width="16.375" customWidth="1"/>
    <col min="8198" max="8198" width="16.625" customWidth="1"/>
    <col min="8199" max="8199" width="21.75" customWidth="1"/>
    <col min="8200" max="8200" width="15" customWidth="1"/>
    <col min="8201" max="8201" width="9" customWidth="1"/>
    <col min="8202" max="8202" width="12.625" bestFit="1" customWidth="1"/>
    <col min="8447" max="8447" width="12.125" customWidth="1"/>
    <col min="8448" max="8448" width="8.375" customWidth="1"/>
    <col min="8449" max="8451" width="15.75" customWidth="1"/>
    <col min="8452" max="8452" width="19" customWidth="1"/>
    <col min="8453" max="8453" width="16.375" customWidth="1"/>
    <col min="8454" max="8454" width="16.625" customWidth="1"/>
    <col min="8455" max="8455" width="21.75" customWidth="1"/>
    <col min="8456" max="8456" width="15" customWidth="1"/>
    <col min="8457" max="8457" width="9" customWidth="1"/>
    <col min="8458" max="8458" width="12.625" bestFit="1" customWidth="1"/>
    <col min="8703" max="8703" width="12.125" customWidth="1"/>
    <col min="8704" max="8704" width="8.375" customWidth="1"/>
    <col min="8705" max="8707" width="15.75" customWidth="1"/>
    <col min="8708" max="8708" width="19" customWidth="1"/>
    <col min="8709" max="8709" width="16.375" customWidth="1"/>
    <col min="8710" max="8710" width="16.625" customWidth="1"/>
    <col min="8711" max="8711" width="21.75" customWidth="1"/>
    <col min="8712" max="8712" width="15" customWidth="1"/>
    <col min="8713" max="8713" width="9" customWidth="1"/>
    <col min="8714" max="8714" width="12.625" bestFit="1" customWidth="1"/>
    <col min="8959" max="8959" width="12.125" customWidth="1"/>
    <col min="8960" max="8960" width="8.375" customWidth="1"/>
    <col min="8961" max="8963" width="15.75" customWidth="1"/>
    <col min="8964" max="8964" width="19" customWidth="1"/>
    <col min="8965" max="8965" width="16.375" customWidth="1"/>
    <col min="8966" max="8966" width="16.625" customWidth="1"/>
    <col min="8967" max="8967" width="21.75" customWidth="1"/>
    <col min="8968" max="8968" width="15" customWidth="1"/>
    <col min="8969" max="8969" width="9" customWidth="1"/>
    <col min="8970" max="8970" width="12.625" bestFit="1" customWidth="1"/>
    <col min="9215" max="9215" width="12.125" customWidth="1"/>
    <col min="9216" max="9216" width="8.375" customWidth="1"/>
    <col min="9217" max="9219" width="15.75" customWidth="1"/>
    <col min="9220" max="9220" width="19" customWidth="1"/>
    <col min="9221" max="9221" width="16.375" customWidth="1"/>
    <col min="9222" max="9222" width="16.625" customWidth="1"/>
    <col min="9223" max="9223" width="21.75" customWidth="1"/>
    <col min="9224" max="9224" width="15" customWidth="1"/>
    <col min="9225" max="9225" width="9" customWidth="1"/>
    <col min="9226" max="9226" width="12.625" bestFit="1" customWidth="1"/>
    <col min="9471" max="9471" width="12.125" customWidth="1"/>
    <col min="9472" max="9472" width="8.375" customWidth="1"/>
    <col min="9473" max="9475" width="15.75" customWidth="1"/>
    <col min="9476" max="9476" width="19" customWidth="1"/>
    <col min="9477" max="9477" width="16.375" customWidth="1"/>
    <col min="9478" max="9478" width="16.625" customWidth="1"/>
    <col min="9479" max="9479" width="21.75" customWidth="1"/>
    <col min="9480" max="9480" width="15" customWidth="1"/>
    <col min="9481" max="9481" width="9" customWidth="1"/>
    <col min="9482" max="9482" width="12.625" bestFit="1" customWidth="1"/>
    <col min="9727" max="9727" width="12.125" customWidth="1"/>
    <col min="9728" max="9728" width="8.375" customWidth="1"/>
    <col min="9729" max="9731" width="15.75" customWidth="1"/>
    <col min="9732" max="9732" width="19" customWidth="1"/>
    <col min="9733" max="9733" width="16.375" customWidth="1"/>
    <col min="9734" max="9734" width="16.625" customWidth="1"/>
    <col min="9735" max="9735" width="21.75" customWidth="1"/>
    <col min="9736" max="9736" width="15" customWidth="1"/>
    <col min="9737" max="9737" width="9" customWidth="1"/>
    <col min="9738" max="9738" width="12.625" bestFit="1" customWidth="1"/>
    <col min="9983" max="9983" width="12.125" customWidth="1"/>
    <col min="9984" max="9984" width="8.375" customWidth="1"/>
    <col min="9985" max="9987" width="15.75" customWidth="1"/>
    <col min="9988" max="9988" width="19" customWidth="1"/>
    <col min="9989" max="9989" width="16.375" customWidth="1"/>
    <col min="9990" max="9990" width="16.625" customWidth="1"/>
    <col min="9991" max="9991" width="21.75" customWidth="1"/>
    <col min="9992" max="9992" width="15" customWidth="1"/>
    <col min="9993" max="9993" width="9" customWidth="1"/>
    <col min="9994" max="9994" width="12.625" bestFit="1" customWidth="1"/>
    <col min="10239" max="10239" width="12.125" customWidth="1"/>
    <col min="10240" max="10240" width="8.375" customWidth="1"/>
    <col min="10241" max="10243" width="15.75" customWidth="1"/>
    <col min="10244" max="10244" width="19" customWidth="1"/>
    <col min="10245" max="10245" width="16.375" customWidth="1"/>
    <col min="10246" max="10246" width="16.625" customWidth="1"/>
    <col min="10247" max="10247" width="21.75" customWidth="1"/>
    <col min="10248" max="10248" width="15" customWidth="1"/>
    <col min="10249" max="10249" width="9" customWidth="1"/>
    <col min="10250" max="10250" width="12.625" bestFit="1" customWidth="1"/>
    <col min="10495" max="10495" width="12.125" customWidth="1"/>
    <col min="10496" max="10496" width="8.375" customWidth="1"/>
    <col min="10497" max="10499" width="15.75" customWidth="1"/>
    <col min="10500" max="10500" width="19" customWidth="1"/>
    <col min="10501" max="10501" width="16.375" customWidth="1"/>
    <col min="10502" max="10502" width="16.625" customWidth="1"/>
    <col min="10503" max="10503" width="21.75" customWidth="1"/>
    <col min="10504" max="10504" width="15" customWidth="1"/>
    <col min="10505" max="10505" width="9" customWidth="1"/>
    <col min="10506" max="10506" width="12.625" bestFit="1" customWidth="1"/>
    <col min="10751" max="10751" width="12.125" customWidth="1"/>
    <col min="10752" max="10752" width="8.375" customWidth="1"/>
    <col min="10753" max="10755" width="15.75" customWidth="1"/>
    <col min="10756" max="10756" width="19" customWidth="1"/>
    <col min="10757" max="10757" width="16.375" customWidth="1"/>
    <col min="10758" max="10758" width="16.625" customWidth="1"/>
    <col min="10759" max="10759" width="21.75" customWidth="1"/>
    <col min="10760" max="10760" width="15" customWidth="1"/>
    <col min="10761" max="10761" width="9" customWidth="1"/>
    <col min="10762" max="10762" width="12.625" bestFit="1" customWidth="1"/>
    <col min="11007" max="11007" width="12.125" customWidth="1"/>
    <col min="11008" max="11008" width="8.375" customWidth="1"/>
    <col min="11009" max="11011" width="15.75" customWidth="1"/>
    <col min="11012" max="11012" width="19" customWidth="1"/>
    <col min="11013" max="11013" width="16.375" customWidth="1"/>
    <col min="11014" max="11014" width="16.625" customWidth="1"/>
    <col min="11015" max="11015" width="21.75" customWidth="1"/>
    <col min="11016" max="11016" width="15" customWidth="1"/>
    <col min="11017" max="11017" width="9" customWidth="1"/>
    <col min="11018" max="11018" width="12.625" bestFit="1" customWidth="1"/>
    <col min="11263" max="11263" width="12.125" customWidth="1"/>
    <col min="11264" max="11264" width="8.375" customWidth="1"/>
    <col min="11265" max="11267" width="15.75" customWidth="1"/>
    <col min="11268" max="11268" width="19" customWidth="1"/>
    <col min="11269" max="11269" width="16.375" customWidth="1"/>
    <col min="11270" max="11270" width="16.625" customWidth="1"/>
    <col min="11271" max="11271" width="21.75" customWidth="1"/>
    <col min="11272" max="11272" width="15" customWidth="1"/>
    <col min="11273" max="11273" width="9" customWidth="1"/>
    <col min="11274" max="11274" width="12.625" bestFit="1" customWidth="1"/>
    <col min="11519" max="11519" width="12.125" customWidth="1"/>
    <col min="11520" max="11520" width="8.375" customWidth="1"/>
    <col min="11521" max="11523" width="15.75" customWidth="1"/>
    <col min="11524" max="11524" width="19" customWidth="1"/>
    <col min="11525" max="11525" width="16.375" customWidth="1"/>
    <col min="11526" max="11526" width="16.625" customWidth="1"/>
    <col min="11527" max="11527" width="21.75" customWidth="1"/>
    <col min="11528" max="11528" width="15" customWidth="1"/>
    <col min="11529" max="11529" width="9" customWidth="1"/>
    <col min="11530" max="11530" width="12.625" bestFit="1" customWidth="1"/>
    <col min="11775" max="11775" width="12.125" customWidth="1"/>
    <col min="11776" max="11776" width="8.375" customWidth="1"/>
    <col min="11777" max="11779" width="15.75" customWidth="1"/>
    <col min="11780" max="11780" width="19" customWidth="1"/>
    <col min="11781" max="11781" width="16.375" customWidth="1"/>
    <col min="11782" max="11782" width="16.625" customWidth="1"/>
    <col min="11783" max="11783" width="21.75" customWidth="1"/>
    <col min="11784" max="11784" width="15" customWidth="1"/>
    <col min="11785" max="11785" width="9" customWidth="1"/>
    <col min="11786" max="11786" width="12.625" bestFit="1" customWidth="1"/>
    <col min="12031" max="12031" width="12.125" customWidth="1"/>
    <col min="12032" max="12032" width="8.375" customWidth="1"/>
    <col min="12033" max="12035" width="15.75" customWidth="1"/>
    <col min="12036" max="12036" width="19" customWidth="1"/>
    <col min="12037" max="12037" width="16.375" customWidth="1"/>
    <col min="12038" max="12038" width="16.625" customWidth="1"/>
    <col min="12039" max="12039" width="21.75" customWidth="1"/>
    <col min="12040" max="12040" width="15" customWidth="1"/>
    <col min="12041" max="12041" width="9" customWidth="1"/>
    <col min="12042" max="12042" width="12.625" bestFit="1" customWidth="1"/>
    <col min="12287" max="12287" width="12.125" customWidth="1"/>
    <col min="12288" max="12288" width="8.375" customWidth="1"/>
    <col min="12289" max="12291" width="15.75" customWidth="1"/>
    <col min="12292" max="12292" width="19" customWidth="1"/>
    <col min="12293" max="12293" width="16.375" customWidth="1"/>
    <col min="12294" max="12294" width="16.625" customWidth="1"/>
    <col min="12295" max="12295" width="21.75" customWidth="1"/>
    <col min="12296" max="12296" width="15" customWidth="1"/>
    <col min="12297" max="12297" width="9" customWidth="1"/>
    <col min="12298" max="12298" width="12.625" bestFit="1" customWidth="1"/>
    <col min="12543" max="12543" width="12.125" customWidth="1"/>
    <col min="12544" max="12544" width="8.375" customWidth="1"/>
    <col min="12545" max="12547" width="15.75" customWidth="1"/>
    <col min="12548" max="12548" width="19" customWidth="1"/>
    <col min="12549" max="12549" width="16.375" customWidth="1"/>
    <col min="12550" max="12550" width="16.625" customWidth="1"/>
    <col min="12551" max="12551" width="21.75" customWidth="1"/>
    <col min="12552" max="12552" width="15" customWidth="1"/>
    <col min="12553" max="12553" width="9" customWidth="1"/>
    <col min="12554" max="12554" width="12.625" bestFit="1" customWidth="1"/>
    <col min="12799" max="12799" width="12.125" customWidth="1"/>
    <col min="12800" max="12800" width="8.375" customWidth="1"/>
    <col min="12801" max="12803" width="15.75" customWidth="1"/>
    <col min="12804" max="12804" width="19" customWidth="1"/>
    <col min="12805" max="12805" width="16.375" customWidth="1"/>
    <col min="12806" max="12806" width="16.625" customWidth="1"/>
    <col min="12807" max="12807" width="21.75" customWidth="1"/>
    <col min="12808" max="12808" width="15" customWidth="1"/>
    <col min="12809" max="12809" width="9" customWidth="1"/>
    <col min="12810" max="12810" width="12.625" bestFit="1" customWidth="1"/>
    <col min="13055" max="13055" width="12.125" customWidth="1"/>
    <col min="13056" max="13056" width="8.375" customWidth="1"/>
    <col min="13057" max="13059" width="15.75" customWidth="1"/>
    <col min="13060" max="13060" width="19" customWidth="1"/>
    <col min="13061" max="13061" width="16.375" customWidth="1"/>
    <col min="13062" max="13062" width="16.625" customWidth="1"/>
    <col min="13063" max="13063" width="21.75" customWidth="1"/>
    <col min="13064" max="13064" width="15" customWidth="1"/>
    <col min="13065" max="13065" width="9" customWidth="1"/>
    <col min="13066" max="13066" width="12.625" bestFit="1" customWidth="1"/>
    <col min="13311" max="13311" width="12.125" customWidth="1"/>
    <col min="13312" max="13312" width="8.375" customWidth="1"/>
    <col min="13313" max="13315" width="15.75" customWidth="1"/>
    <col min="13316" max="13316" width="19" customWidth="1"/>
    <col min="13317" max="13317" width="16.375" customWidth="1"/>
    <col min="13318" max="13318" width="16.625" customWidth="1"/>
    <col min="13319" max="13319" width="21.75" customWidth="1"/>
    <col min="13320" max="13320" width="15" customWidth="1"/>
    <col min="13321" max="13321" width="9" customWidth="1"/>
    <col min="13322" max="13322" width="12.625" bestFit="1" customWidth="1"/>
    <col min="13567" max="13567" width="12.125" customWidth="1"/>
    <col min="13568" max="13568" width="8.375" customWidth="1"/>
    <col min="13569" max="13571" width="15.75" customWidth="1"/>
    <col min="13572" max="13572" width="19" customWidth="1"/>
    <col min="13573" max="13573" width="16.375" customWidth="1"/>
    <col min="13574" max="13574" width="16.625" customWidth="1"/>
    <col min="13575" max="13575" width="21.75" customWidth="1"/>
    <col min="13576" max="13576" width="15" customWidth="1"/>
    <col min="13577" max="13577" width="9" customWidth="1"/>
    <col min="13578" max="13578" width="12.625" bestFit="1" customWidth="1"/>
    <col min="13823" max="13823" width="12.125" customWidth="1"/>
    <col min="13824" max="13824" width="8.375" customWidth="1"/>
    <col min="13825" max="13827" width="15.75" customWidth="1"/>
    <col min="13828" max="13828" width="19" customWidth="1"/>
    <col min="13829" max="13829" width="16.375" customWidth="1"/>
    <col min="13830" max="13830" width="16.625" customWidth="1"/>
    <col min="13831" max="13831" width="21.75" customWidth="1"/>
    <col min="13832" max="13832" width="15" customWidth="1"/>
    <col min="13833" max="13833" width="9" customWidth="1"/>
    <col min="13834" max="13834" width="12.625" bestFit="1" customWidth="1"/>
    <col min="14079" max="14079" width="12.125" customWidth="1"/>
    <col min="14080" max="14080" width="8.375" customWidth="1"/>
    <col min="14081" max="14083" width="15.75" customWidth="1"/>
    <col min="14084" max="14084" width="19" customWidth="1"/>
    <col min="14085" max="14085" width="16.375" customWidth="1"/>
    <col min="14086" max="14086" width="16.625" customWidth="1"/>
    <col min="14087" max="14087" width="21.75" customWidth="1"/>
    <col min="14088" max="14088" width="15" customWidth="1"/>
    <col min="14089" max="14089" width="9" customWidth="1"/>
    <col min="14090" max="14090" width="12.625" bestFit="1" customWidth="1"/>
    <col min="14335" max="14335" width="12.125" customWidth="1"/>
    <col min="14336" max="14336" width="8.375" customWidth="1"/>
    <col min="14337" max="14339" width="15.75" customWidth="1"/>
    <col min="14340" max="14340" width="19" customWidth="1"/>
    <col min="14341" max="14341" width="16.375" customWidth="1"/>
    <col min="14342" max="14342" width="16.625" customWidth="1"/>
    <col min="14343" max="14343" width="21.75" customWidth="1"/>
    <col min="14344" max="14344" width="15" customWidth="1"/>
    <col min="14345" max="14345" width="9" customWidth="1"/>
    <col min="14346" max="14346" width="12.625" bestFit="1" customWidth="1"/>
    <col min="14591" max="14591" width="12.125" customWidth="1"/>
    <col min="14592" max="14592" width="8.375" customWidth="1"/>
    <col min="14593" max="14595" width="15.75" customWidth="1"/>
    <col min="14596" max="14596" width="19" customWidth="1"/>
    <col min="14597" max="14597" width="16.375" customWidth="1"/>
    <col min="14598" max="14598" width="16.625" customWidth="1"/>
    <col min="14599" max="14599" width="21.75" customWidth="1"/>
    <col min="14600" max="14600" width="15" customWidth="1"/>
    <col min="14601" max="14601" width="9" customWidth="1"/>
    <col min="14602" max="14602" width="12.625" bestFit="1" customWidth="1"/>
    <col min="14847" max="14847" width="12.125" customWidth="1"/>
    <col min="14848" max="14848" width="8.375" customWidth="1"/>
    <col min="14849" max="14851" width="15.75" customWidth="1"/>
    <col min="14852" max="14852" width="19" customWidth="1"/>
    <col min="14853" max="14853" width="16.375" customWidth="1"/>
    <col min="14854" max="14854" width="16.625" customWidth="1"/>
    <col min="14855" max="14855" width="21.75" customWidth="1"/>
    <col min="14856" max="14856" width="15" customWidth="1"/>
    <col min="14857" max="14857" width="9" customWidth="1"/>
    <col min="14858" max="14858" width="12.625" bestFit="1" customWidth="1"/>
    <col min="15103" max="15103" width="12.125" customWidth="1"/>
    <col min="15104" max="15104" width="8.375" customWidth="1"/>
    <col min="15105" max="15107" width="15.75" customWidth="1"/>
    <col min="15108" max="15108" width="19" customWidth="1"/>
    <col min="15109" max="15109" width="16.375" customWidth="1"/>
    <col min="15110" max="15110" width="16.625" customWidth="1"/>
    <col min="15111" max="15111" width="21.75" customWidth="1"/>
    <col min="15112" max="15112" width="15" customWidth="1"/>
    <col min="15113" max="15113" width="9" customWidth="1"/>
    <col min="15114" max="15114" width="12.625" bestFit="1" customWidth="1"/>
    <col min="15359" max="15359" width="12.125" customWidth="1"/>
    <col min="15360" max="15360" width="8.375" customWidth="1"/>
    <col min="15361" max="15363" width="15.75" customWidth="1"/>
    <col min="15364" max="15364" width="19" customWidth="1"/>
    <col min="15365" max="15365" width="16.375" customWidth="1"/>
    <col min="15366" max="15366" width="16.625" customWidth="1"/>
    <col min="15367" max="15367" width="21.75" customWidth="1"/>
    <col min="15368" max="15368" width="15" customWidth="1"/>
    <col min="15369" max="15369" width="9" customWidth="1"/>
    <col min="15370" max="15370" width="12.625" bestFit="1" customWidth="1"/>
    <col min="15615" max="15615" width="12.125" customWidth="1"/>
    <col min="15616" max="15616" width="8.375" customWidth="1"/>
    <col min="15617" max="15619" width="15.75" customWidth="1"/>
    <col min="15620" max="15620" width="19" customWidth="1"/>
    <col min="15621" max="15621" width="16.375" customWidth="1"/>
    <col min="15622" max="15622" width="16.625" customWidth="1"/>
    <col min="15623" max="15623" width="21.75" customWidth="1"/>
    <col min="15624" max="15624" width="15" customWidth="1"/>
    <col min="15625" max="15625" width="9" customWidth="1"/>
    <col min="15626" max="15626" width="12.625" bestFit="1" customWidth="1"/>
    <col min="15871" max="15871" width="12.125" customWidth="1"/>
    <col min="15872" max="15872" width="8.375" customWidth="1"/>
    <col min="15873" max="15875" width="15.75" customWidth="1"/>
    <col min="15876" max="15876" width="19" customWidth="1"/>
    <col min="15877" max="15877" width="16.375" customWidth="1"/>
    <col min="15878" max="15878" width="16.625" customWidth="1"/>
    <col min="15879" max="15879" width="21.75" customWidth="1"/>
    <col min="15880" max="15880" width="15" customWidth="1"/>
    <col min="15881" max="15881" width="9" customWidth="1"/>
    <col min="15882" max="15882" width="12.625" bestFit="1" customWidth="1"/>
    <col min="16127" max="16127" width="12.125" customWidth="1"/>
    <col min="16128" max="16128" width="8.375" customWidth="1"/>
    <col min="16129" max="16131" width="15.75" customWidth="1"/>
    <col min="16132" max="16132" width="19" customWidth="1"/>
    <col min="16133" max="16133" width="16.375" customWidth="1"/>
    <col min="16134" max="16134" width="16.625" customWidth="1"/>
    <col min="16135" max="16135" width="21.75" customWidth="1"/>
    <col min="16136" max="16136" width="15" customWidth="1"/>
    <col min="16137" max="16137" width="9" customWidth="1"/>
    <col min="16138" max="16138" width="12.625" bestFit="1" customWidth="1"/>
  </cols>
  <sheetData>
    <row r="1" spans="1:10" ht="22.5">
      <c r="A1" s="1534" t="s">
        <v>1384</v>
      </c>
      <c r="B1" s="1535"/>
      <c r="C1" s="1535"/>
      <c r="D1" s="1535"/>
      <c r="E1" s="1535"/>
      <c r="F1" s="1535"/>
      <c r="G1" s="1535"/>
      <c r="H1" s="1535"/>
      <c r="I1" s="1536"/>
    </row>
    <row r="2" spans="1:10" ht="15">
      <c r="A2" s="1537" t="s">
        <v>1385</v>
      </c>
      <c r="B2" s="1538"/>
      <c r="C2" s="1538"/>
      <c r="D2" s="1538"/>
      <c r="E2" s="1538"/>
      <c r="F2" s="1538"/>
      <c r="G2" s="1538"/>
      <c r="H2" s="1538"/>
      <c r="I2" s="1539"/>
    </row>
    <row r="3" spans="1:10" ht="14.25">
      <c r="A3" s="1540" t="s">
        <v>1386</v>
      </c>
      <c r="B3" s="1541"/>
      <c r="C3" s="1541"/>
      <c r="D3" s="1541"/>
      <c r="E3" s="1541"/>
      <c r="F3" s="1541"/>
      <c r="G3" s="1541"/>
      <c r="H3" s="1541"/>
      <c r="I3" s="1542"/>
    </row>
    <row r="4" spans="1:10" ht="33">
      <c r="A4" s="807" t="s">
        <v>1387</v>
      </c>
      <c r="B4" s="808" t="s">
        <v>1388</v>
      </c>
      <c r="C4" s="808" t="s">
        <v>1389</v>
      </c>
      <c r="D4" s="825" t="s">
        <v>1390</v>
      </c>
      <c r="E4" s="809" t="s">
        <v>1391</v>
      </c>
      <c r="F4" s="808" t="s">
        <v>1392</v>
      </c>
      <c r="G4" s="808" t="s">
        <v>1393</v>
      </c>
      <c r="H4" s="808" t="s">
        <v>1394</v>
      </c>
      <c r="I4" s="810" t="s">
        <v>1395</v>
      </c>
    </row>
    <row r="5" spans="1:10" ht="16.5">
      <c r="A5" s="1543" t="s">
        <v>1396</v>
      </c>
      <c r="B5" s="1532" t="s">
        <v>1397</v>
      </c>
      <c r="C5" s="823" t="s">
        <v>1398</v>
      </c>
      <c r="D5" s="826">
        <v>318062</v>
      </c>
      <c r="E5" s="811">
        <v>220000</v>
      </c>
      <c r="F5" s="811">
        <v>260000</v>
      </c>
      <c r="G5" s="811">
        <v>318062</v>
      </c>
      <c r="H5" s="1526" t="s">
        <v>1399</v>
      </c>
      <c r="I5" s="1546" t="s">
        <v>1400</v>
      </c>
      <c r="J5" s="812"/>
    </row>
    <row r="6" spans="1:10" ht="16.5">
      <c r="A6" s="1544"/>
      <c r="B6" s="1532"/>
      <c r="C6" s="823" t="s">
        <v>1401</v>
      </c>
      <c r="D6" s="826">
        <v>318062</v>
      </c>
      <c r="E6" s="811">
        <v>220000</v>
      </c>
      <c r="F6" s="811">
        <v>260000</v>
      </c>
      <c r="G6" s="811">
        <v>318062</v>
      </c>
      <c r="H6" s="1526"/>
      <c r="I6" s="1546"/>
      <c r="J6" s="812"/>
    </row>
    <row r="7" spans="1:10" ht="16.5">
      <c r="A7" s="1544"/>
      <c r="B7" s="1532"/>
      <c r="C7" s="823" t="s">
        <v>1402</v>
      </c>
      <c r="D7" s="826">
        <v>636124</v>
      </c>
      <c r="E7" s="811">
        <v>440000</v>
      </c>
      <c r="F7" s="811">
        <v>505000</v>
      </c>
      <c r="G7" s="811">
        <v>636124</v>
      </c>
      <c r="H7" s="1526"/>
      <c r="I7" s="1546"/>
      <c r="J7" s="812"/>
    </row>
    <row r="8" spans="1:10" ht="16.5">
      <c r="A8" s="1544"/>
      <c r="B8" s="1532"/>
      <c r="C8" s="823" t="s">
        <v>1403</v>
      </c>
      <c r="D8" s="826">
        <v>636124</v>
      </c>
      <c r="E8" s="811">
        <v>440000</v>
      </c>
      <c r="F8" s="811">
        <v>505000</v>
      </c>
      <c r="G8" s="811">
        <v>636124</v>
      </c>
      <c r="H8" s="1526"/>
      <c r="I8" s="1546"/>
      <c r="J8" s="812"/>
    </row>
    <row r="9" spans="1:10" ht="16.5">
      <c r="A9" s="1544"/>
      <c r="B9" s="1532"/>
      <c r="C9" s="823" t="s">
        <v>1404</v>
      </c>
      <c r="D9" s="826">
        <v>1272248</v>
      </c>
      <c r="E9" s="811">
        <v>860000</v>
      </c>
      <c r="F9" s="811">
        <v>948000</v>
      </c>
      <c r="G9" s="811" t="s">
        <v>1405</v>
      </c>
      <c r="H9" s="1526"/>
      <c r="I9" s="1546"/>
      <c r="J9" s="812"/>
    </row>
    <row r="10" spans="1:10" ht="16.5">
      <c r="A10" s="1544"/>
      <c r="B10" s="1532"/>
      <c r="C10" s="823" t="s">
        <v>1366</v>
      </c>
      <c r="D10" s="826">
        <v>1272248</v>
      </c>
      <c r="E10" s="811">
        <v>860000</v>
      </c>
      <c r="F10" s="811">
        <v>948000</v>
      </c>
      <c r="G10" s="811" t="s">
        <v>1405</v>
      </c>
      <c r="H10" s="1526"/>
      <c r="I10" s="1546"/>
      <c r="J10" s="812"/>
    </row>
    <row r="11" spans="1:10" ht="16.5">
      <c r="A11" s="1544"/>
      <c r="B11" s="1547" t="s">
        <v>1406</v>
      </c>
      <c r="C11" s="826" t="s">
        <v>1402</v>
      </c>
      <c r="D11" s="827">
        <v>234400</v>
      </c>
      <c r="E11" s="828">
        <v>160000</v>
      </c>
      <c r="F11" s="828">
        <v>180000</v>
      </c>
      <c r="G11" s="828">
        <v>234400</v>
      </c>
      <c r="H11" s="1548" t="s">
        <v>1407</v>
      </c>
      <c r="I11" s="1549" t="s">
        <v>1408</v>
      </c>
      <c r="J11" s="812"/>
    </row>
    <row r="12" spans="1:10" ht="16.5">
      <c r="A12" s="1545"/>
      <c r="B12" s="1547"/>
      <c r="C12" s="826" t="s">
        <v>1403</v>
      </c>
      <c r="D12" s="827">
        <v>234400</v>
      </c>
      <c r="E12" s="828">
        <v>160000</v>
      </c>
      <c r="F12" s="828">
        <v>180000</v>
      </c>
      <c r="G12" s="828">
        <v>234400</v>
      </c>
      <c r="H12" s="1548"/>
      <c r="I12" s="1549"/>
      <c r="J12" s="812"/>
    </row>
    <row r="13" spans="1:10" ht="16.5">
      <c r="A13" s="1524" t="s">
        <v>1409</v>
      </c>
      <c r="B13" s="1525" t="s">
        <v>1368</v>
      </c>
      <c r="C13" s="823" t="s">
        <v>1367</v>
      </c>
      <c r="D13" s="827">
        <v>51489</v>
      </c>
      <c r="E13" s="811">
        <v>33000</v>
      </c>
      <c r="F13" s="811">
        <v>36000</v>
      </c>
      <c r="G13" s="811">
        <v>33482</v>
      </c>
      <c r="H13" s="1526" t="s">
        <v>1410</v>
      </c>
      <c r="I13" s="813"/>
    </row>
    <row r="14" spans="1:10" ht="16.5">
      <c r="A14" s="1524"/>
      <c r="B14" s="1525"/>
      <c r="C14" s="823" t="s">
        <v>1401</v>
      </c>
      <c r="D14" s="827">
        <v>51489</v>
      </c>
      <c r="E14" s="811">
        <v>33000</v>
      </c>
      <c r="F14" s="811">
        <v>36000</v>
      </c>
      <c r="G14" s="811">
        <v>33482</v>
      </c>
      <c r="H14" s="1526"/>
      <c r="I14" s="813"/>
    </row>
    <row r="15" spans="1:10" ht="16.5">
      <c r="A15" s="1524"/>
      <c r="B15" s="1525" t="s">
        <v>1369</v>
      </c>
      <c r="C15" s="823" t="s">
        <v>1367</v>
      </c>
      <c r="D15" s="827">
        <v>33481</v>
      </c>
      <c r="E15" s="811">
        <v>22000</v>
      </c>
      <c r="F15" s="811">
        <v>25111.5</v>
      </c>
      <c r="G15" s="811">
        <v>33482</v>
      </c>
      <c r="H15" s="1526" t="s">
        <v>1411</v>
      </c>
      <c r="I15" s="813"/>
    </row>
    <row r="16" spans="1:10" ht="16.5">
      <c r="A16" s="1524"/>
      <c r="B16" s="1525"/>
      <c r="C16" s="823" t="s">
        <v>1401</v>
      </c>
      <c r="D16" s="827">
        <v>33481</v>
      </c>
      <c r="E16" s="811">
        <v>22000</v>
      </c>
      <c r="F16" s="811">
        <v>25111.5</v>
      </c>
      <c r="G16" s="811">
        <v>33482</v>
      </c>
      <c r="H16" s="1526"/>
      <c r="I16" s="813"/>
    </row>
    <row r="17" spans="1:9" ht="16.5">
      <c r="A17" s="1524"/>
      <c r="B17" s="1525" t="s">
        <v>1412</v>
      </c>
      <c r="C17" s="823" t="s">
        <v>1367</v>
      </c>
      <c r="D17" s="827">
        <v>80355</v>
      </c>
      <c r="E17" s="811">
        <v>53000</v>
      </c>
      <c r="F17" s="811">
        <v>60267</v>
      </c>
      <c r="G17" s="811">
        <v>80356</v>
      </c>
      <c r="H17" s="1526" t="s">
        <v>1413</v>
      </c>
      <c r="I17" s="813"/>
    </row>
    <row r="18" spans="1:9" ht="16.5">
      <c r="A18" s="1524"/>
      <c r="B18" s="1525"/>
      <c r="C18" s="823" t="s">
        <v>1401</v>
      </c>
      <c r="D18" s="827">
        <v>80355</v>
      </c>
      <c r="E18" s="811">
        <v>53000</v>
      </c>
      <c r="F18" s="811">
        <v>60267</v>
      </c>
      <c r="G18" s="811">
        <v>80356</v>
      </c>
      <c r="H18" s="1526"/>
      <c r="I18" s="813"/>
    </row>
    <row r="19" spans="1:9" ht="16.5">
      <c r="A19" s="822"/>
      <c r="B19" s="1527" t="s">
        <v>1414</v>
      </c>
      <c r="C19" s="823" t="s">
        <v>1367</v>
      </c>
      <c r="D19" s="827">
        <v>77088</v>
      </c>
      <c r="E19" s="811">
        <v>50000</v>
      </c>
      <c r="F19" s="811">
        <v>62000</v>
      </c>
      <c r="G19" s="811" t="s">
        <v>1405</v>
      </c>
      <c r="H19" s="1529"/>
      <c r="I19" s="813"/>
    </row>
    <row r="20" spans="1:9" ht="16.5">
      <c r="A20" s="822"/>
      <c r="B20" s="1528"/>
      <c r="C20" s="823" t="s">
        <v>1415</v>
      </c>
      <c r="D20" s="827">
        <v>77088</v>
      </c>
      <c r="E20" s="811">
        <v>50000</v>
      </c>
      <c r="F20" s="811">
        <v>62000</v>
      </c>
      <c r="G20" s="811" t="s">
        <v>1405</v>
      </c>
      <c r="H20" s="1530"/>
      <c r="I20" s="813"/>
    </row>
    <row r="21" spans="1:9" ht="33">
      <c r="A21" s="1531" t="s">
        <v>1416</v>
      </c>
      <c r="B21" s="1532" t="s">
        <v>1417</v>
      </c>
      <c r="C21" s="823" t="s">
        <v>1418</v>
      </c>
      <c r="D21" s="827">
        <v>154000</v>
      </c>
      <c r="E21" s="811">
        <v>105000</v>
      </c>
      <c r="F21" s="811">
        <v>115500</v>
      </c>
      <c r="G21" s="811">
        <v>154000</v>
      </c>
      <c r="H21" s="1533" t="s">
        <v>1419</v>
      </c>
      <c r="I21" s="1523" t="s">
        <v>1420</v>
      </c>
    </row>
    <row r="22" spans="1:9" ht="33">
      <c r="A22" s="1531"/>
      <c r="B22" s="1532"/>
      <c r="C22" s="823" t="s">
        <v>1421</v>
      </c>
      <c r="D22" s="827">
        <v>308000</v>
      </c>
      <c r="E22" s="811">
        <v>210000</v>
      </c>
      <c r="F22" s="811">
        <v>231000</v>
      </c>
      <c r="G22" s="811">
        <v>308000</v>
      </c>
      <c r="H22" s="1533"/>
      <c r="I22" s="1523"/>
    </row>
    <row r="23" spans="1:9" ht="33.75" thickBot="1">
      <c r="A23" s="814" t="s">
        <v>1422</v>
      </c>
      <c r="B23" s="815" t="s">
        <v>1423</v>
      </c>
      <c r="C23" s="815" t="s">
        <v>1370</v>
      </c>
      <c r="D23" s="829"/>
      <c r="E23" s="816">
        <v>5000</v>
      </c>
      <c r="F23" s="816">
        <v>5500</v>
      </c>
      <c r="G23" s="816" t="s">
        <v>1405</v>
      </c>
      <c r="H23" s="817"/>
      <c r="I23" s="818" t="s">
        <v>1424</v>
      </c>
    </row>
  </sheetData>
  <mergeCells count="23">
    <mergeCell ref="A1:I1"/>
    <mergeCell ref="A2:I2"/>
    <mergeCell ref="A3:I3"/>
    <mergeCell ref="A5:A12"/>
    <mergeCell ref="B5:B10"/>
    <mergeCell ref="H5:H10"/>
    <mergeCell ref="I5:I10"/>
    <mergeCell ref="B11:B12"/>
    <mergeCell ref="H11:H12"/>
    <mergeCell ref="I11:I12"/>
    <mergeCell ref="I21:I22"/>
    <mergeCell ref="A13:A18"/>
    <mergeCell ref="B13:B14"/>
    <mergeCell ref="H13:H14"/>
    <mergeCell ref="B15:B16"/>
    <mergeCell ref="H15:H16"/>
    <mergeCell ref="B17:B18"/>
    <mergeCell ref="H17:H18"/>
    <mergeCell ref="B19:B20"/>
    <mergeCell ref="H19:H20"/>
    <mergeCell ref="A21:A22"/>
    <mergeCell ref="B21:B22"/>
    <mergeCell ref="H21:H22"/>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8"/>
  <sheetViews>
    <sheetView workbookViewId="0">
      <pane ySplit="3" topLeftCell="A4" activePane="bottomLeft" state="frozen"/>
      <selection activeCell="K10" sqref="K10"/>
      <selection pane="bottomLeft" activeCell="B4" sqref="B4:B7"/>
    </sheetView>
  </sheetViews>
  <sheetFormatPr defaultRowHeight="13.5"/>
  <cols>
    <col min="1" max="1" width="18.125" style="176" customWidth="1"/>
    <col min="2" max="2" width="20" style="99" customWidth="1"/>
    <col min="3" max="3" width="17" style="95" customWidth="1"/>
    <col min="4" max="4" width="15.875" style="96" customWidth="1"/>
    <col min="5" max="5" width="8.875" style="88" customWidth="1"/>
    <col min="6" max="6" width="8.125" style="97" customWidth="1"/>
    <col min="7" max="7" width="10.5" style="97" bestFit="1" customWidth="1"/>
    <col min="8" max="8" width="10.5" style="98" customWidth="1"/>
    <col min="9" max="9" width="12.875" style="511" customWidth="1"/>
    <col min="10" max="10" width="7.625" style="90" customWidth="1"/>
    <col min="11" max="11" width="12.5" style="100" customWidth="1"/>
    <col min="12" max="12" width="25.5" style="93" customWidth="1"/>
    <col min="13" max="13" width="22" style="62" customWidth="1"/>
  </cols>
  <sheetData>
    <row r="1" spans="1:13" ht="27" customHeight="1">
      <c r="A1" s="938" t="s">
        <v>222</v>
      </c>
      <c r="B1" s="939"/>
      <c r="C1" s="939"/>
      <c r="D1" s="939"/>
      <c r="E1" s="939"/>
      <c r="F1" s="939"/>
      <c r="G1" s="939"/>
      <c r="H1" s="939"/>
      <c r="I1" s="939"/>
      <c r="J1" s="939"/>
      <c r="K1" s="939"/>
      <c r="L1" s="939"/>
      <c r="M1" s="939"/>
    </row>
    <row r="2" spans="1:13" ht="14.25" thickBot="1">
      <c r="A2" s="940"/>
      <c r="B2" s="941"/>
      <c r="C2" s="939"/>
      <c r="D2" s="939"/>
      <c r="E2" s="939"/>
      <c r="F2" s="939"/>
      <c r="G2" s="939"/>
      <c r="H2" s="939"/>
      <c r="I2" s="939"/>
      <c r="J2" s="939"/>
      <c r="K2" s="939"/>
      <c r="L2" s="939"/>
      <c r="M2" s="939"/>
    </row>
    <row r="3" spans="1:13" ht="36.75" thickBot="1">
      <c r="A3" s="180" t="s">
        <v>223</v>
      </c>
      <c r="B3" s="515" t="s">
        <v>224</v>
      </c>
      <c r="C3" s="181" t="s">
        <v>225</v>
      </c>
      <c r="D3" s="187" t="s">
        <v>226</v>
      </c>
      <c r="E3" s="187" t="s">
        <v>227</v>
      </c>
      <c r="F3" s="187" t="s">
        <v>228</v>
      </c>
      <c r="G3" s="187" t="s">
        <v>229</v>
      </c>
      <c r="H3" s="185" t="s">
        <v>230</v>
      </c>
      <c r="I3" s="187" t="s">
        <v>231</v>
      </c>
      <c r="J3" s="187" t="s">
        <v>232</v>
      </c>
      <c r="K3" s="187" t="s">
        <v>233</v>
      </c>
      <c r="L3" s="187" t="s">
        <v>234</v>
      </c>
      <c r="M3" s="188" t="s">
        <v>13</v>
      </c>
    </row>
    <row r="4" spans="1:13" s="62" customFormat="1" ht="13.5" customHeight="1">
      <c r="A4" s="978" t="s">
        <v>235</v>
      </c>
      <c r="B4" s="979" t="s">
        <v>235</v>
      </c>
      <c r="C4" s="981" t="s">
        <v>235</v>
      </c>
      <c r="D4" s="463" t="s">
        <v>236</v>
      </c>
      <c r="E4" s="983" t="s">
        <v>237</v>
      </c>
      <c r="F4" s="984"/>
      <c r="G4" s="986">
        <f>IF(F4&lt;=1000,30,IF(F4&lt;=3000,60,IF(F4&lt;=5000,90,IF(F4&gt;5000,120,0))))</f>
        <v>30</v>
      </c>
      <c r="H4" s="987" t="s">
        <v>237</v>
      </c>
      <c r="I4" s="989" t="s">
        <v>17</v>
      </c>
      <c r="J4" s="990" t="s">
        <v>22</v>
      </c>
      <c r="K4" s="973" t="s">
        <v>238</v>
      </c>
      <c r="L4" s="975"/>
      <c r="M4" s="949" t="s">
        <v>788</v>
      </c>
    </row>
    <row r="5" spans="1:13" s="62" customFormat="1">
      <c r="A5" s="969"/>
      <c r="B5" s="980"/>
      <c r="C5" s="982"/>
      <c r="D5" s="306" t="s">
        <v>239</v>
      </c>
      <c r="E5" s="960"/>
      <c r="F5" s="985"/>
      <c r="G5" s="953"/>
      <c r="H5" s="988"/>
      <c r="I5" s="965"/>
      <c r="J5" s="955"/>
      <c r="K5" s="974"/>
      <c r="L5" s="976"/>
      <c r="M5" s="932"/>
    </row>
    <row r="6" spans="1:13" s="62" customFormat="1">
      <c r="A6" s="969"/>
      <c r="B6" s="980"/>
      <c r="C6" s="982"/>
      <c r="D6" s="306" t="s">
        <v>240</v>
      </c>
      <c r="E6" s="960"/>
      <c r="F6" s="985"/>
      <c r="G6" s="953"/>
      <c r="H6" s="988"/>
      <c r="I6" s="965"/>
      <c r="J6" s="955"/>
      <c r="K6" s="974"/>
      <c r="L6" s="976"/>
      <c r="M6" s="932"/>
    </row>
    <row r="7" spans="1:13" s="62" customFormat="1">
      <c r="A7" s="969"/>
      <c r="B7" s="980"/>
      <c r="C7" s="982"/>
      <c r="D7" s="306" t="s">
        <v>241</v>
      </c>
      <c r="E7" s="960"/>
      <c r="F7" s="985"/>
      <c r="G7" s="953"/>
      <c r="H7" s="988"/>
      <c r="I7" s="965"/>
      <c r="J7" s="955"/>
      <c r="K7" s="974"/>
      <c r="L7" s="976"/>
      <c r="M7" s="932"/>
    </row>
    <row r="8" spans="1:13" s="62" customFormat="1" ht="84">
      <c r="A8" s="969"/>
      <c r="B8" s="302" t="s">
        <v>242</v>
      </c>
      <c r="C8" s="332" t="s">
        <v>242</v>
      </c>
      <c r="D8" s="306" t="s">
        <v>238</v>
      </c>
      <c r="E8" s="307">
        <v>8</v>
      </c>
      <c r="F8" s="317"/>
      <c r="G8" s="313">
        <f>E8*F8</f>
        <v>0</v>
      </c>
      <c r="H8" s="318">
        <v>2</v>
      </c>
      <c r="I8" s="348" t="s">
        <v>21</v>
      </c>
      <c r="J8" s="303" t="s">
        <v>243</v>
      </c>
      <c r="K8" s="304" t="str">
        <f>IF(F8&lt;2,"许可没有达到最低要求","SUCCESS")</f>
        <v>许可没有达到最低要求</v>
      </c>
      <c r="L8" s="333"/>
      <c r="M8" s="464" t="s">
        <v>643</v>
      </c>
    </row>
    <row r="9" spans="1:13" s="62" customFormat="1" ht="26.25" customHeight="1">
      <c r="A9" s="501" t="s">
        <v>244</v>
      </c>
      <c r="B9" s="302" t="s">
        <v>245</v>
      </c>
      <c r="C9" s="332" t="s">
        <v>245</v>
      </c>
      <c r="D9" s="306" t="s">
        <v>238</v>
      </c>
      <c r="E9" s="307">
        <v>12</v>
      </c>
      <c r="F9" s="317"/>
      <c r="G9" s="313">
        <f>E9*F9</f>
        <v>0</v>
      </c>
      <c r="H9" s="318">
        <v>4</v>
      </c>
      <c r="I9" s="348" t="s">
        <v>26</v>
      </c>
      <c r="J9" s="303" t="s">
        <v>243</v>
      </c>
      <c r="K9" s="304" t="str">
        <f>IF(F9&lt;5,"许可没有达到最低要求","SUCCESS")</f>
        <v>许可没有达到最低要求</v>
      </c>
      <c r="L9" s="333"/>
      <c r="M9" s="405"/>
    </row>
    <row r="10" spans="1:13" s="62" customFormat="1" ht="42.75" customHeight="1">
      <c r="A10" s="969" t="s">
        <v>247</v>
      </c>
      <c r="B10" s="302" t="s">
        <v>248</v>
      </c>
      <c r="C10" s="332" t="s">
        <v>248</v>
      </c>
      <c r="D10" s="306" t="s">
        <v>238</v>
      </c>
      <c r="E10" s="307">
        <v>30</v>
      </c>
      <c r="F10" s="312"/>
      <c r="G10" s="63">
        <f>IF(F10&gt;=1,E10*1,0)</f>
        <v>0</v>
      </c>
      <c r="H10" s="64" t="s">
        <v>237</v>
      </c>
      <c r="I10" s="348" t="s">
        <v>33</v>
      </c>
      <c r="J10" s="303" t="s">
        <v>243</v>
      </c>
      <c r="K10" s="309" t="s">
        <v>238</v>
      </c>
      <c r="L10" s="333"/>
      <c r="M10" s="405" t="s">
        <v>249</v>
      </c>
    </row>
    <row r="11" spans="1:13" s="62" customFormat="1" ht="13.5" customHeight="1">
      <c r="A11" s="969"/>
      <c r="B11" s="302" t="s">
        <v>250</v>
      </c>
      <c r="C11" s="332" t="s">
        <v>251</v>
      </c>
      <c r="D11" s="306" t="s">
        <v>238</v>
      </c>
      <c r="E11" s="307">
        <v>12</v>
      </c>
      <c r="F11" s="317"/>
      <c r="G11" s="313">
        <f>E11*F11</f>
        <v>0</v>
      </c>
      <c r="H11" s="318">
        <v>2</v>
      </c>
      <c r="I11" s="348" t="s">
        <v>26</v>
      </c>
      <c r="J11" s="303" t="s">
        <v>243</v>
      </c>
      <c r="K11" s="304" t="str">
        <f>IF(F11&lt;2,"许可没有达到最低要求","SUCCESS")</f>
        <v>许可没有达到最低要求</v>
      </c>
      <c r="L11" s="333"/>
      <c r="M11" s="465"/>
    </row>
    <row r="12" spans="1:13" s="62" customFormat="1" ht="13.5" customHeight="1">
      <c r="A12" s="969"/>
      <c r="B12" s="302" t="s">
        <v>252</v>
      </c>
      <c r="C12" s="332" t="s">
        <v>252</v>
      </c>
      <c r="D12" s="306" t="s">
        <v>238</v>
      </c>
      <c r="E12" s="307">
        <v>20</v>
      </c>
      <c r="F12" s="317"/>
      <c r="G12" s="313">
        <f>E12*F12</f>
        <v>0</v>
      </c>
      <c r="H12" s="318">
        <v>2</v>
      </c>
      <c r="I12" s="348" t="s">
        <v>26</v>
      </c>
      <c r="J12" s="303" t="s">
        <v>243</v>
      </c>
      <c r="K12" s="304" t="str">
        <f>IF(F12&lt;2,"许可没有达到最低要求","SUCCESS")</f>
        <v>许可没有达到最低要求</v>
      </c>
      <c r="L12" s="333"/>
      <c r="M12" s="465"/>
    </row>
    <row r="13" spans="1:13" s="62" customFormat="1" ht="78" customHeight="1">
      <c r="A13" s="969" t="s">
        <v>253</v>
      </c>
      <c r="B13" s="367" t="s">
        <v>254</v>
      </c>
      <c r="C13" s="332" t="s">
        <v>254</v>
      </c>
      <c r="D13" s="306" t="s">
        <v>786</v>
      </c>
      <c r="E13" s="307">
        <v>8</v>
      </c>
      <c r="F13" s="317"/>
      <c r="G13" s="65">
        <f>E13*F13</f>
        <v>0</v>
      </c>
      <c r="H13" s="66">
        <v>2</v>
      </c>
      <c r="I13" s="348" t="s">
        <v>255</v>
      </c>
      <c r="J13" s="303" t="s">
        <v>256</v>
      </c>
      <c r="K13" s="304" t="str">
        <f>IF(F13&lt;2,"许可没有达到最低要求","SUCCESS")</f>
        <v>许可没有达到最低要求</v>
      </c>
      <c r="L13" s="333" t="s">
        <v>258</v>
      </c>
      <c r="M13" s="405" t="s">
        <v>257</v>
      </c>
    </row>
    <row r="14" spans="1:13" s="62" customFormat="1" ht="13.5" customHeight="1">
      <c r="A14" s="969"/>
      <c r="B14" s="302" t="s">
        <v>259</v>
      </c>
      <c r="C14" s="332" t="s">
        <v>260</v>
      </c>
      <c r="D14" s="306" t="s">
        <v>238</v>
      </c>
      <c r="E14" s="307">
        <v>5</v>
      </c>
      <c r="F14" s="312"/>
      <c r="G14" s="343">
        <f>IF(F14&gt;=1,E14,0)</f>
        <v>0</v>
      </c>
      <c r="H14" s="109" t="s">
        <v>237</v>
      </c>
      <c r="I14" s="505" t="s">
        <v>139</v>
      </c>
      <c r="J14" s="341" t="s">
        <v>256</v>
      </c>
      <c r="K14" s="309" t="s">
        <v>238</v>
      </c>
      <c r="L14" s="333"/>
      <c r="M14" s="466" t="s">
        <v>261</v>
      </c>
    </row>
    <row r="15" spans="1:13" s="62" customFormat="1" ht="13.5" customHeight="1">
      <c r="A15" s="977" t="s">
        <v>670</v>
      </c>
      <c r="B15" s="500" t="s">
        <v>671</v>
      </c>
      <c r="C15" s="382" t="s">
        <v>671</v>
      </c>
      <c r="D15" s="385" t="s">
        <v>472</v>
      </c>
      <c r="E15" s="386">
        <v>30</v>
      </c>
      <c r="F15" s="312"/>
      <c r="G15" s="489">
        <f>IF(F15&gt;=1,E15,0)</f>
        <v>0</v>
      </c>
      <c r="H15" s="385" t="s">
        <v>472</v>
      </c>
      <c r="I15" s="387" t="s">
        <v>566</v>
      </c>
      <c r="J15" s="384" t="s">
        <v>22</v>
      </c>
      <c r="K15" s="384" t="s">
        <v>819</v>
      </c>
      <c r="L15" s="388" t="s">
        <v>677</v>
      </c>
      <c r="M15" s="404" t="s">
        <v>672</v>
      </c>
    </row>
    <row r="16" spans="1:13" s="62" customFormat="1" ht="13.5" customHeight="1">
      <c r="A16" s="977"/>
      <c r="B16" s="500" t="s">
        <v>673</v>
      </c>
      <c r="C16" s="382" t="s">
        <v>674</v>
      </c>
      <c r="D16" s="385" t="s">
        <v>472</v>
      </c>
      <c r="E16" s="386">
        <v>30</v>
      </c>
      <c r="F16" s="312"/>
      <c r="G16" s="489">
        <f>IF(F16&gt;=1,E16,0)</f>
        <v>0</v>
      </c>
      <c r="H16" s="385" t="s">
        <v>472</v>
      </c>
      <c r="I16" s="387" t="s">
        <v>566</v>
      </c>
      <c r="J16" s="384" t="s">
        <v>22</v>
      </c>
      <c r="K16" s="384" t="s">
        <v>472</v>
      </c>
      <c r="L16" s="382" t="s">
        <v>784</v>
      </c>
      <c r="M16" s="404" t="s">
        <v>782</v>
      </c>
    </row>
    <row r="17" spans="1:13" s="62" customFormat="1" ht="13.5" customHeight="1">
      <c r="A17" s="977"/>
      <c r="B17" s="381" t="s">
        <v>675</v>
      </c>
      <c r="C17" s="388" t="s">
        <v>676</v>
      </c>
      <c r="D17" s="490" t="s">
        <v>472</v>
      </c>
      <c r="E17" s="386">
        <v>20</v>
      </c>
      <c r="F17" s="312"/>
      <c r="G17" s="489">
        <f>IF(F17&gt;=1,E17,0)</f>
        <v>0</v>
      </c>
      <c r="H17" s="390">
        <v>5</v>
      </c>
      <c r="I17" s="387" t="s">
        <v>308</v>
      </c>
      <c r="J17" s="384" t="s">
        <v>22</v>
      </c>
      <c r="K17" s="384" t="s">
        <v>472</v>
      </c>
      <c r="L17" s="389" t="s">
        <v>751</v>
      </c>
      <c r="M17" s="404" t="s">
        <v>787</v>
      </c>
    </row>
    <row r="18" spans="1:13" s="62" customFormat="1" ht="36">
      <c r="A18" s="146" t="s">
        <v>262</v>
      </c>
      <c r="B18" s="302" t="s">
        <v>263</v>
      </c>
      <c r="C18" s="69" t="s">
        <v>264</v>
      </c>
      <c r="D18" s="306" t="s">
        <v>238</v>
      </c>
      <c r="E18" s="326">
        <v>7.5</v>
      </c>
      <c r="F18" s="318"/>
      <c r="G18" s="313">
        <f t="shared" ref="G18:G21" si="0">E18*F18</f>
        <v>0</v>
      </c>
      <c r="H18" s="318">
        <v>2</v>
      </c>
      <c r="I18" s="73" t="s">
        <v>246</v>
      </c>
      <c r="J18" s="303" t="s">
        <v>243</v>
      </c>
      <c r="K18" s="70" t="str">
        <f>IF(F18&lt;2,"许可没有达到最低要求","SUCCESS")</f>
        <v>许可没有达到最低要求</v>
      </c>
      <c r="L18" s="305" t="s">
        <v>494</v>
      </c>
      <c r="M18" s="464" t="s">
        <v>265</v>
      </c>
    </row>
    <row r="19" spans="1:13" s="62" customFormat="1" ht="31.5" customHeight="1">
      <c r="A19" s="966" t="s">
        <v>266</v>
      </c>
      <c r="B19" s="302" t="s">
        <v>267</v>
      </c>
      <c r="C19" s="332" t="s">
        <v>267</v>
      </c>
      <c r="D19" s="306" t="s">
        <v>238</v>
      </c>
      <c r="E19" s="307">
        <v>2</v>
      </c>
      <c r="F19" s="317"/>
      <c r="G19" s="313">
        <f t="shared" si="0"/>
        <v>0</v>
      </c>
      <c r="H19" s="318">
        <v>15</v>
      </c>
      <c r="I19" s="506" t="s">
        <v>246</v>
      </c>
      <c r="J19" s="303" t="s">
        <v>243</v>
      </c>
      <c r="K19" s="304" t="str">
        <f>IF(F19&lt;15,"许可没有达到最低要求","SUCCESS")</f>
        <v>许可没有达到最低要求</v>
      </c>
      <c r="L19" s="316"/>
      <c r="M19" s="464"/>
    </row>
    <row r="20" spans="1:13" s="62" customFormat="1" ht="23.25" customHeight="1">
      <c r="A20" s="991"/>
      <c r="B20" s="302" t="s">
        <v>268</v>
      </c>
      <c r="C20" s="332" t="s">
        <v>268</v>
      </c>
      <c r="D20" s="306" t="s">
        <v>238</v>
      </c>
      <c r="E20" s="307">
        <v>2</v>
      </c>
      <c r="F20" s="317"/>
      <c r="G20" s="313">
        <f t="shared" si="0"/>
        <v>0</v>
      </c>
      <c r="H20" s="318">
        <v>5</v>
      </c>
      <c r="I20" s="506" t="s">
        <v>308</v>
      </c>
      <c r="J20" s="303" t="s">
        <v>22</v>
      </c>
      <c r="K20" s="304" t="str">
        <f>IF(F20&lt;20,"许可没有达到最低要求","SUCCESS")</f>
        <v>许可没有达到最低要求</v>
      </c>
      <c r="L20" s="108" t="s">
        <v>678</v>
      </c>
      <c r="M20" s="466"/>
    </row>
    <row r="21" spans="1:13" s="62" customFormat="1">
      <c r="A21" s="991"/>
      <c r="B21" s="950" t="s">
        <v>269</v>
      </c>
      <c r="C21" s="332" t="s">
        <v>270</v>
      </c>
      <c r="D21" s="959" t="s">
        <v>238</v>
      </c>
      <c r="E21" s="960">
        <v>6</v>
      </c>
      <c r="F21" s="993"/>
      <c r="G21" s="953">
        <f t="shared" si="0"/>
        <v>0</v>
      </c>
      <c r="H21" s="954">
        <v>2</v>
      </c>
      <c r="I21" s="965" t="s">
        <v>246</v>
      </c>
      <c r="J21" s="955" t="s">
        <v>243</v>
      </c>
      <c r="K21" s="956" t="str">
        <f>IF(F21&lt;2,"许可没有达到最低要求","SUCCESS")</f>
        <v>许可没有达到最低要求</v>
      </c>
      <c r="L21" s="994"/>
      <c r="M21" s="945"/>
    </row>
    <row r="22" spans="1:13" s="62" customFormat="1">
      <c r="A22" s="991"/>
      <c r="B22" s="992"/>
      <c r="C22" s="332" t="s">
        <v>271</v>
      </c>
      <c r="D22" s="959"/>
      <c r="E22" s="960"/>
      <c r="F22" s="993"/>
      <c r="G22" s="953"/>
      <c r="H22" s="954"/>
      <c r="I22" s="965"/>
      <c r="J22" s="955"/>
      <c r="K22" s="956"/>
      <c r="L22" s="994"/>
      <c r="M22" s="945"/>
    </row>
    <row r="23" spans="1:13" s="62" customFormat="1" ht="13.5" customHeight="1">
      <c r="A23" s="991"/>
      <c r="B23" s="302" t="s">
        <v>272</v>
      </c>
      <c r="C23" s="332" t="s">
        <v>273</v>
      </c>
      <c r="D23" s="306" t="s">
        <v>238</v>
      </c>
      <c r="E23" s="307">
        <v>1</v>
      </c>
      <c r="F23" s="317"/>
      <c r="G23" s="313">
        <f>E23*F23</f>
        <v>0</v>
      </c>
      <c r="H23" s="318">
        <v>10</v>
      </c>
      <c r="I23" s="506" t="s">
        <v>246</v>
      </c>
      <c r="J23" s="303" t="s">
        <v>243</v>
      </c>
      <c r="K23" s="304" t="str">
        <f>IF(F23&lt;10,"许可没有达到最低要求","SUCCESS")</f>
        <v>许可没有达到最低要求</v>
      </c>
      <c r="L23" s="316"/>
      <c r="M23" s="464"/>
    </row>
    <row r="24" spans="1:13" s="62" customFormat="1" ht="13.5" customHeight="1">
      <c r="A24" s="991"/>
      <c r="B24" s="302" t="s">
        <v>274</v>
      </c>
      <c r="C24" s="332" t="s">
        <v>274</v>
      </c>
      <c r="D24" s="306" t="s">
        <v>238</v>
      </c>
      <c r="E24" s="326">
        <v>4</v>
      </c>
      <c r="F24" s="315"/>
      <c r="G24" s="313">
        <f>E24*F24</f>
        <v>0</v>
      </c>
      <c r="H24" s="318">
        <v>5</v>
      </c>
      <c r="I24" s="506" t="s">
        <v>246</v>
      </c>
      <c r="J24" s="303" t="s">
        <v>243</v>
      </c>
      <c r="K24" s="304" t="str">
        <f>IF(F24&lt;4,"许可没有达到最低要求","SUCCESS")</f>
        <v>许可没有达到最低要求</v>
      </c>
      <c r="L24" s="544" t="s">
        <v>275</v>
      </c>
      <c r="M24" s="464"/>
    </row>
    <row r="25" spans="1:13" s="62" customFormat="1" ht="13.5" customHeight="1">
      <c r="A25" s="991"/>
      <c r="B25" s="950" t="s">
        <v>276</v>
      </c>
      <c r="C25" s="332" t="s">
        <v>276</v>
      </c>
      <c r="D25" s="306" t="s">
        <v>238</v>
      </c>
      <c r="E25" s="307">
        <v>30</v>
      </c>
      <c r="F25" s="312"/>
      <c r="G25" s="343">
        <f>IF(F25&gt;=1,E25,0)</f>
        <v>0</v>
      </c>
      <c r="H25" s="67" t="s">
        <v>237</v>
      </c>
      <c r="I25" s="506" t="s">
        <v>139</v>
      </c>
      <c r="J25" s="303" t="s">
        <v>256</v>
      </c>
      <c r="K25" s="309" t="s">
        <v>238</v>
      </c>
      <c r="L25" s="316"/>
      <c r="M25" s="466" t="s">
        <v>261</v>
      </c>
    </row>
    <row r="26" spans="1:13" s="62" customFormat="1" ht="24.75" customHeight="1">
      <c r="A26" s="991"/>
      <c r="B26" s="950"/>
      <c r="C26" s="332" t="s">
        <v>277</v>
      </c>
      <c r="D26" s="306" t="s">
        <v>238</v>
      </c>
      <c r="E26" s="307">
        <v>15</v>
      </c>
      <c r="F26" s="312"/>
      <c r="G26" s="343">
        <f>IF(F26&gt;=1,E26,0)</f>
        <v>0</v>
      </c>
      <c r="H26" s="67" t="s">
        <v>237</v>
      </c>
      <c r="I26" s="506" t="s">
        <v>139</v>
      </c>
      <c r="J26" s="303" t="s">
        <v>256</v>
      </c>
      <c r="K26" s="309" t="s">
        <v>238</v>
      </c>
      <c r="L26" s="316"/>
      <c r="M26" s="466" t="s">
        <v>261</v>
      </c>
    </row>
    <row r="27" spans="1:13" s="62" customFormat="1">
      <c r="A27" s="966" t="s">
        <v>278</v>
      </c>
      <c r="B27" s="950" t="s">
        <v>1617</v>
      </c>
      <c r="C27" s="332" t="s">
        <v>279</v>
      </c>
      <c r="D27" s="959" t="s">
        <v>238</v>
      </c>
      <c r="E27" s="960">
        <v>1.3</v>
      </c>
      <c r="F27" s="952"/>
      <c r="G27" s="953">
        <f>E27*F27</f>
        <v>0</v>
      </c>
      <c r="H27" s="954">
        <v>20</v>
      </c>
      <c r="I27" s="965" t="s">
        <v>246</v>
      </c>
      <c r="J27" s="955" t="s">
        <v>243</v>
      </c>
      <c r="K27" s="956" t="str">
        <f>IF(F27&lt;20,"许可没有达到最低要求","SUCCESS")</f>
        <v>许可没有达到最低要求</v>
      </c>
      <c r="L27" s="994"/>
      <c r="M27" s="945"/>
    </row>
    <row r="28" spans="1:13" s="62" customFormat="1">
      <c r="A28" s="966"/>
      <c r="B28" s="992"/>
      <c r="C28" s="332" t="s">
        <v>280</v>
      </c>
      <c r="D28" s="959"/>
      <c r="E28" s="960"/>
      <c r="F28" s="952"/>
      <c r="G28" s="953"/>
      <c r="H28" s="954"/>
      <c r="I28" s="995"/>
      <c r="J28" s="955"/>
      <c r="K28" s="956"/>
      <c r="L28" s="994"/>
      <c r="M28" s="945"/>
    </row>
    <row r="29" spans="1:13" s="62" customFormat="1">
      <c r="A29" s="966"/>
      <c r="B29" s="992"/>
      <c r="C29" s="332" t="s">
        <v>281</v>
      </c>
      <c r="D29" s="959"/>
      <c r="E29" s="960"/>
      <c r="F29" s="952"/>
      <c r="G29" s="953"/>
      <c r="H29" s="954"/>
      <c r="I29" s="995"/>
      <c r="J29" s="955"/>
      <c r="K29" s="956"/>
      <c r="L29" s="994"/>
      <c r="M29" s="945"/>
    </row>
    <row r="30" spans="1:13" s="62" customFormat="1">
      <c r="A30" s="966"/>
      <c r="B30" s="992"/>
      <c r="C30" s="332" t="s">
        <v>282</v>
      </c>
      <c r="D30" s="959"/>
      <c r="E30" s="960"/>
      <c r="F30" s="952"/>
      <c r="G30" s="953"/>
      <c r="H30" s="954"/>
      <c r="I30" s="995"/>
      <c r="J30" s="955"/>
      <c r="K30" s="956"/>
      <c r="L30" s="994"/>
      <c r="M30" s="945"/>
    </row>
    <row r="31" spans="1:13" s="62" customFormat="1" ht="13.5" customHeight="1">
      <c r="A31" s="966"/>
      <c r="B31" s="335" t="s">
        <v>656</v>
      </c>
      <c r="C31" s="339" t="s">
        <v>656</v>
      </c>
      <c r="D31" s="107" t="s">
        <v>657</v>
      </c>
      <c r="E31" s="337">
        <v>30</v>
      </c>
      <c r="F31" s="177"/>
      <c r="G31" s="178">
        <f>IF(F31&gt;=1,E31,0)</f>
        <v>0</v>
      </c>
      <c r="H31" s="109" t="s">
        <v>658</v>
      </c>
      <c r="I31" s="507" t="s">
        <v>139</v>
      </c>
      <c r="J31" s="323" t="s">
        <v>659</v>
      </c>
      <c r="K31" s="179" t="s">
        <v>657</v>
      </c>
      <c r="L31" s="316"/>
      <c r="M31" s="466" t="s">
        <v>261</v>
      </c>
    </row>
    <row r="32" spans="1:13" s="62" customFormat="1" ht="24">
      <c r="A32" s="966"/>
      <c r="B32" s="302" t="s">
        <v>286</v>
      </c>
      <c r="C32" s="332" t="s">
        <v>286</v>
      </c>
      <c r="D32" s="306" t="s">
        <v>238</v>
      </c>
      <c r="E32" s="307">
        <v>1.3</v>
      </c>
      <c r="F32" s="317"/>
      <c r="G32" s="313">
        <f>E32*F32</f>
        <v>0</v>
      </c>
      <c r="H32" s="318">
        <v>5</v>
      </c>
      <c r="I32" s="506" t="s">
        <v>246</v>
      </c>
      <c r="J32" s="303" t="s">
        <v>243</v>
      </c>
      <c r="K32" s="304" t="str">
        <f>IF(F32&lt;5,"许可没有达到最低要求","SUCCESS")</f>
        <v>许可没有达到最低要求</v>
      </c>
      <c r="L32" s="544" t="s">
        <v>820</v>
      </c>
      <c r="M32" s="405"/>
    </row>
    <row r="33" spans="1:13" s="62" customFormat="1" ht="70.5" customHeight="1">
      <c r="A33" s="966"/>
      <c r="B33" s="302" t="s">
        <v>287</v>
      </c>
      <c r="C33" s="332" t="s">
        <v>287</v>
      </c>
      <c r="D33" s="306" t="s">
        <v>238</v>
      </c>
      <c r="E33" s="307">
        <v>3</v>
      </c>
      <c r="F33" s="315"/>
      <c r="G33" s="313">
        <f>IF(F33&lt;=0,0,20+(F33-10)/10*3)</f>
        <v>0</v>
      </c>
      <c r="H33" s="318">
        <v>10</v>
      </c>
      <c r="I33" s="506" t="s">
        <v>69</v>
      </c>
      <c r="J33" s="303" t="s">
        <v>243</v>
      </c>
      <c r="K33" s="304" t="str">
        <f>IF(F33&lt;10,"许可没有达到最低要求","SUCCESS")</f>
        <v>许可没有达到最低要求</v>
      </c>
      <c r="L33" s="316" t="s">
        <v>289</v>
      </c>
      <c r="M33" s="464" t="s">
        <v>288</v>
      </c>
    </row>
    <row r="34" spans="1:13" s="62" customFormat="1" ht="45.75" customHeight="1">
      <c r="A34" s="966"/>
      <c r="B34" s="302" t="s">
        <v>290</v>
      </c>
      <c r="C34" s="332" t="s">
        <v>290</v>
      </c>
      <c r="D34" s="306" t="s">
        <v>238</v>
      </c>
      <c r="E34" s="307">
        <v>3</v>
      </c>
      <c r="F34" s="315"/>
      <c r="G34" s="313">
        <f>IF(F34&lt;=0,0,20+(F34-10)/10*3)</f>
        <v>0</v>
      </c>
      <c r="H34" s="318">
        <v>10</v>
      </c>
      <c r="I34" s="506" t="s">
        <v>69</v>
      </c>
      <c r="J34" s="303" t="s">
        <v>243</v>
      </c>
      <c r="K34" s="304" t="str">
        <f>IF(F34&lt;10,"许可没有达到最低要求","SUCCESS")</f>
        <v>许可没有达到最低要求</v>
      </c>
      <c r="L34" s="316" t="s">
        <v>291</v>
      </c>
      <c r="M34" s="467" t="s">
        <v>288</v>
      </c>
    </row>
    <row r="35" spans="1:13" s="62" customFormat="1" ht="13.5" customHeight="1">
      <c r="A35" s="966"/>
      <c r="B35" s="302" t="s">
        <v>292</v>
      </c>
      <c r="C35" s="332" t="s">
        <v>292</v>
      </c>
      <c r="D35" s="306" t="s">
        <v>238</v>
      </c>
      <c r="E35" s="307">
        <v>3</v>
      </c>
      <c r="F35" s="315"/>
      <c r="G35" s="313">
        <f>IF(F35&lt;=0,0,20+(F35-10)/10*3)</f>
        <v>0</v>
      </c>
      <c r="H35" s="318">
        <v>10</v>
      </c>
      <c r="I35" s="506" t="s">
        <v>69</v>
      </c>
      <c r="J35" s="303" t="s">
        <v>243</v>
      </c>
      <c r="K35" s="304" t="str">
        <f>IF(F35&lt;10,"许可没有达到最低要求","SUCCESS")</f>
        <v>许可没有达到最低要求</v>
      </c>
      <c r="L35" s="316" t="s">
        <v>293</v>
      </c>
      <c r="M35" s="467" t="s">
        <v>288</v>
      </c>
    </row>
    <row r="36" spans="1:13" s="62" customFormat="1" ht="13.5" customHeight="1">
      <c r="A36" s="966" t="s">
        <v>754</v>
      </c>
      <c r="B36" s="302" t="s">
        <v>283</v>
      </c>
      <c r="C36" s="332" t="s">
        <v>283</v>
      </c>
      <c r="D36" s="306" t="s">
        <v>238</v>
      </c>
      <c r="E36" s="307">
        <v>1.3</v>
      </c>
      <c r="F36" s="317"/>
      <c r="G36" s="313">
        <f>E36*F36</f>
        <v>0</v>
      </c>
      <c r="H36" s="318">
        <v>10</v>
      </c>
      <c r="I36" s="506" t="s">
        <v>246</v>
      </c>
      <c r="J36" s="71" t="s">
        <v>243</v>
      </c>
      <c r="K36" s="304" t="str">
        <f>IF(F36&lt;10,"许可没有达到最低要求","SUCCESS")</f>
        <v>许可没有达到最低要求</v>
      </c>
      <c r="L36" s="316"/>
      <c r="M36" s="406"/>
    </row>
    <row r="37" spans="1:13" s="62" customFormat="1" ht="13.5" customHeight="1">
      <c r="A37" s="966"/>
      <c r="B37" s="302" t="s">
        <v>284</v>
      </c>
      <c r="C37" s="332" t="s">
        <v>284</v>
      </c>
      <c r="D37" s="306" t="s">
        <v>238</v>
      </c>
      <c r="E37" s="307">
        <v>1.3</v>
      </c>
      <c r="F37" s="317"/>
      <c r="G37" s="313">
        <f>E37*F37</f>
        <v>0</v>
      </c>
      <c r="H37" s="318">
        <v>10</v>
      </c>
      <c r="I37" s="506" t="s">
        <v>246</v>
      </c>
      <c r="J37" s="71" t="s">
        <v>243</v>
      </c>
      <c r="K37" s="304" t="str">
        <f>IF(F37&lt;10,"许可没有达到最低要求","SUCCESS")</f>
        <v>许可没有达到最低要求</v>
      </c>
      <c r="L37" s="316"/>
      <c r="M37" s="406" t="s">
        <v>285</v>
      </c>
    </row>
    <row r="38" spans="1:13" s="62" customFormat="1" ht="13.5" customHeight="1">
      <c r="A38" s="966" t="s">
        <v>756</v>
      </c>
      <c r="B38" s="1020" t="s">
        <v>755</v>
      </c>
      <c r="C38" s="951" t="s">
        <v>439</v>
      </c>
      <c r="D38" s="324" t="s">
        <v>433</v>
      </c>
      <c r="E38" s="307">
        <v>0.04</v>
      </c>
      <c r="F38" s="952"/>
      <c r="G38" s="953">
        <f>IF(F38+F17&lt;=5000,(F38+F17)*0.04,IF(F38+F17&lt;15000,5000*0.04+(F38+F17-5000)*0.03,5000*0.04+10000*0.03+(F38+F17-15000)*0.02))</f>
        <v>0</v>
      </c>
      <c r="H38" s="954">
        <v>100</v>
      </c>
      <c r="I38" s="965" t="s">
        <v>434</v>
      </c>
      <c r="J38" s="955" t="s">
        <v>243</v>
      </c>
      <c r="K38" s="956" t="str">
        <f>IF(F38&lt;100,"许可没有达到最低要求","SUCCESS")</f>
        <v>许可没有达到最低要求</v>
      </c>
      <c r="L38" s="1015"/>
      <c r="M38" s="945" t="s">
        <v>440</v>
      </c>
    </row>
    <row r="39" spans="1:13" s="62" customFormat="1" ht="13.5" customHeight="1">
      <c r="A39" s="966"/>
      <c r="B39" s="1021"/>
      <c r="C39" s="992"/>
      <c r="D39" s="324" t="s">
        <v>441</v>
      </c>
      <c r="E39" s="307">
        <v>0.03</v>
      </c>
      <c r="F39" s="952"/>
      <c r="G39" s="953"/>
      <c r="H39" s="954"/>
      <c r="I39" s="965"/>
      <c r="J39" s="955"/>
      <c r="K39" s="956"/>
      <c r="L39" s="1015"/>
      <c r="M39" s="945"/>
    </row>
    <row r="40" spans="1:13" s="62" customFormat="1" ht="13.5" customHeight="1">
      <c r="A40" s="966"/>
      <c r="B40" s="1021"/>
      <c r="C40" s="992"/>
      <c r="D40" s="324" t="s">
        <v>442</v>
      </c>
      <c r="E40" s="307">
        <v>0.02</v>
      </c>
      <c r="F40" s="952"/>
      <c r="G40" s="953"/>
      <c r="H40" s="954"/>
      <c r="I40" s="965"/>
      <c r="J40" s="955"/>
      <c r="K40" s="956"/>
      <c r="L40" s="1015"/>
      <c r="M40" s="945"/>
    </row>
    <row r="41" spans="1:13" s="62" customFormat="1" ht="14.25" customHeight="1">
      <c r="A41" s="966" t="s">
        <v>529</v>
      </c>
      <c r="B41" s="950" t="s">
        <v>530</v>
      </c>
      <c r="C41" s="332" t="s">
        <v>531</v>
      </c>
      <c r="D41" s="959" t="s">
        <v>493</v>
      </c>
      <c r="E41" s="1045">
        <v>2</v>
      </c>
      <c r="F41" s="993"/>
      <c r="G41" s="953">
        <f>E41*F41</f>
        <v>0</v>
      </c>
      <c r="H41" s="988">
        <v>5</v>
      </c>
      <c r="I41" s="965" t="s">
        <v>246</v>
      </c>
      <c r="J41" s="955" t="s">
        <v>528</v>
      </c>
      <c r="K41" s="956" t="str">
        <f>IF(F41&lt;5,"许可没有达到最低要求","SUCCESS")</f>
        <v>许可没有达到最低要求</v>
      </c>
      <c r="L41" s="994" t="s">
        <v>541</v>
      </c>
      <c r="M41" s="932" t="s">
        <v>532</v>
      </c>
    </row>
    <row r="42" spans="1:13" s="62" customFormat="1" ht="14.25" customHeight="1">
      <c r="A42" s="966"/>
      <c r="B42" s="950"/>
      <c r="C42" s="339" t="s">
        <v>542</v>
      </c>
      <c r="D42" s="959"/>
      <c r="E42" s="1045"/>
      <c r="F42" s="993"/>
      <c r="G42" s="953"/>
      <c r="H42" s="988"/>
      <c r="I42" s="965"/>
      <c r="J42" s="955"/>
      <c r="K42" s="956"/>
      <c r="L42" s="994"/>
      <c r="M42" s="932"/>
    </row>
    <row r="43" spans="1:13" s="62" customFormat="1" ht="14.25" customHeight="1">
      <c r="A43" s="966"/>
      <c r="B43" s="950"/>
      <c r="C43" s="339" t="s">
        <v>534</v>
      </c>
      <c r="D43" s="959"/>
      <c r="E43" s="1045"/>
      <c r="F43" s="993"/>
      <c r="G43" s="953"/>
      <c r="H43" s="988"/>
      <c r="I43" s="965"/>
      <c r="J43" s="955"/>
      <c r="K43" s="956"/>
      <c r="L43" s="994"/>
      <c r="M43" s="932"/>
    </row>
    <row r="44" spans="1:13" s="62" customFormat="1" ht="13.5" customHeight="1">
      <c r="A44" s="966"/>
      <c r="B44" s="1046" t="s">
        <v>537</v>
      </c>
      <c r="C44" s="144" t="s">
        <v>535</v>
      </c>
      <c r="D44" s="959" t="s">
        <v>543</v>
      </c>
      <c r="E44" s="1045">
        <v>4</v>
      </c>
      <c r="F44" s="993"/>
      <c r="G44" s="953">
        <f>E44*F44</f>
        <v>0</v>
      </c>
      <c r="H44" s="988">
        <v>5</v>
      </c>
      <c r="I44" s="965" t="s">
        <v>246</v>
      </c>
      <c r="J44" s="955" t="s">
        <v>528</v>
      </c>
      <c r="K44" s="956" t="str">
        <f>IF(F44&lt;5,"许可没有达到最低要求","SUCCESS")</f>
        <v>许可没有达到最低要求</v>
      </c>
      <c r="L44" s="996"/>
      <c r="M44" s="933"/>
    </row>
    <row r="45" spans="1:13" s="62" customFormat="1" ht="20.25" customHeight="1">
      <c r="A45" s="966"/>
      <c r="B45" s="1046"/>
      <c r="C45" s="145" t="s">
        <v>537</v>
      </c>
      <c r="D45" s="959"/>
      <c r="E45" s="1045"/>
      <c r="F45" s="993"/>
      <c r="G45" s="953"/>
      <c r="H45" s="988"/>
      <c r="I45" s="965"/>
      <c r="J45" s="955"/>
      <c r="K45" s="956"/>
      <c r="L45" s="996"/>
      <c r="M45" s="933"/>
    </row>
    <row r="46" spans="1:13" s="62" customFormat="1" ht="13.5" customHeight="1">
      <c r="A46" s="966"/>
      <c r="B46" s="302" t="s">
        <v>545</v>
      </c>
      <c r="C46" s="332" t="s">
        <v>545</v>
      </c>
      <c r="D46" s="306" t="s">
        <v>546</v>
      </c>
      <c r="E46" s="337">
        <v>2</v>
      </c>
      <c r="F46" s="315"/>
      <c r="G46" s="313">
        <f>E46*F46</f>
        <v>0</v>
      </c>
      <c r="H46" s="314">
        <v>5</v>
      </c>
      <c r="I46" s="506" t="s">
        <v>308</v>
      </c>
      <c r="J46" s="303" t="s">
        <v>547</v>
      </c>
      <c r="K46" s="304" t="str">
        <f>IF(F46&lt;5,"许可没有达到最低要求","SUCCESS")</f>
        <v>许可没有达到最低要求</v>
      </c>
      <c r="L46" s="320"/>
      <c r="M46" s="468" t="s">
        <v>548</v>
      </c>
    </row>
    <row r="47" spans="1:13" s="62" customFormat="1" ht="13.5" customHeight="1">
      <c r="A47" s="963" t="s">
        <v>294</v>
      </c>
      <c r="B47" s="980" t="s">
        <v>295</v>
      </c>
      <c r="C47" s="332" t="s">
        <v>296</v>
      </c>
      <c r="D47" s="959" t="s">
        <v>238</v>
      </c>
      <c r="E47" s="1004">
        <v>1</v>
      </c>
      <c r="F47" s="993"/>
      <c r="G47" s="953">
        <f>E47*F47</f>
        <v>0</v>
      </c>
      <c r="H47" s="954">
        <v>15</v>
      </c>
      <c r="I47" s="965" t="s">
        <v>246</v>
      </c>
      <c r="J47" s="955" t="s">
        <v>22</v>
      </c>
      <c r="K47" s="956" t="str">
        <f>IF(F47&lt;15,"许可没有达到最低要求","SUCCESS")</f>
        <v>许可没有达到最低要求</v>
      </c>
      <c r="L47" s="994"/>
      <c r="M47" s="945" t="s">
        <v>692</v>
      </c>
    </row>
    <row r="48" spans="1:13" s="62" customFormat="1" ht="13.5" customHeight="1">
      <c r="A48" s="963"/>
      <c r="B48" s="980"/>
      <c r="C48" s="332" t="s">
        <v>297</v>
      </c>
      <c r="D48" s="959"/>
      <c r="E48" s="1004"/>
      <c r="F48" s="993"/>
      <c r="G48" s="953"/>
      <c r="H48" s="954"/>
      <c r="I48" s="965"/>
      <c r="J48" s="955"/>
      <c r="K48" s="956"/>
      <c r="L48" s="994"/>
      <c r="M48" s="945"/>
    </row>
    <row r="49" spans="1:13" s="62" customFormat="1">
      <c r="A49" s="963"/>
      <c r="B49" s="980"/>
      <c r="C49" s="332" t="s">
        <v>298</v>
      </c>
      <c r="D49" s="959"/>
      <c r="E49" s="1004"/>
      <c r="F49" s="993"/>
      <c r="G49" s="953"/>
      <c r="H49" s="954"/>
      <c r="I49" s="965"/>
      <c r="J49" s="955"/>
      <c r="K49" s="956"/>
      <c r="L49" s="994"/>
      <c r="M49" s="945"/>
    </row>
    <row r="50" spans="1:13" s="62" customFormat="1">
      <c r="A50" s="963"/>
      <c r="B50" s="980"/>
      <c r="C50" s="332" t="s">
        <v>299</v>
      </c>
      <c r="D50" s="959"/>
      <c r="E50" s="1004"/>
      <c r="F50" s="993"/>
      <c r="G50" s="953"/>
      <c r="H50" s="954"/>
      <c r="I50" s="965"/>
      <c r="J50" s="955"/>
      <c r="K50" s="956"/>
      <c r="L50" s="994"/>
      <c r="M50" s="945"/>
    </row>
    <row r="51" spans="1:13" s="62" customFormat="1">
      <c r="A51" s="963"/>
      <c r="B51" s="980"/>
      <c r="C51" s="332" t="s">
        <v>300</v>
      </c>
      <c r="D51" s="959"/>
      <c r="E51" s="1004"/>
      <c r="F51" s="993"/>
      <c r="G51" s="953"/>
      <c r="H51" s="954"/>
      <c r="I51" s="965"/>
      <c r="J51" s="955"/>
      <c r="K51" s="956"/>
      <c r="L51" s="994"/>
      <c r="M51" s="945"/>
    </row>
    <row r="52" spans="1:13" s="62" customFormat="1">
      <c r="A52" s="963"/>
      <c r="B52" s="980"/>
      <c r="C52" s="332" t="s">
        <v>301</v>
      </c>
      <c r="D52" s="959"/>
      <c r="E52" s="1004"/>
      <c r="F52" s="993"/>
      <c r="G52" s="953"/>
      <c r="H52" s="954"/>
      <c r="I52" s="965"/>
      <c r="J52" s="955"/>
      <c r="K52" s="956"/>
      <c r="L52" s="994"/>
      <c r="M52" s="945"/>
    </row>
    <row r="53" spans="1:13" s="62" customFormat="1">
      <c r="A53" s="963"/>
      <c r="B53" s="980"/>
      <c r="C53" s="332" t="s">
        <v>302</v>
      </c>
      <c r="D53" s="959"/>
      <c r="E53" s="1004"/>
      <c r="F53" s="993"/>
      <c r="G53" s="953"/>
      <c r="H53" s="954"/>
      <c r="I53" s="965"/>
      <c r="J53" s="955"/>
      <c r="K53" s="956"/>
      <c r="L53" s="994"/>
      <c r="M53" s="945"/>
    </row>
    <row r="54" spans="1:13" s="62" customFormat="1">
      <c r="A54" s="963"/>
      <c r="B54" s="980"/>
      <c r="C54" s="332" t="s">
        <v>303</v>
      </c>
      <c r="D54" s="959"/>
      <c r="E54" s="1004"/>
      <c r="F54" s="993"/>
      <c r="G54" s="953"/>
      <c r="H54" s="954"/>
      <c r="I54" s="965"/>
      <c r="J54" s="955"/>
      <c r="K54" s="956"/>
      <c r="L54" s="994"/>
      <c r="M54" s="945"/>
    </row>
    <row r="55" spans="1:13" s="62" customFormat="1">
      <c r="A55" s="963"/>
      <c r="B55" s="980"/>
      <c r="C55" s="332" t="s">
        <v>304</v>
      </c>
      <c r="D55" s="959"/>
      <c r="E55" s="1004"/>
      <c r="F55" s="993"/>
      <c r="G55" s="953"/>
      <c r="H55" s="954"/>
      <c r="I55" s="965"/>
      <c r="J55" s="955"/>
      <c r="K55" s="956"/>
      <c r="L55" s="994"/>
      <c r="M55" s="945"/>
    </row>
    <row r="56" spans="1:13" s="62" customFormat="1">
      <c r="A56" s="963"/>
      <c r="B56" s="980"/>
      <c r="C56" s="332" t="s">
        <v>305</v>
      </c>
      <c r="D56" s="959"/>
      <c r="E56" s="1004"/>
      <c r="F56" s="993"/>
      <c r="G56" s="953"/>
      <c r="H56" s="954"/>
      <c r="I56" s="965"/>
      <c r="J56" s="955"/>
      <c r="K56" s="956"/>
      <c r="L56" s="994"/>
      <c r="M56" s="945"/>
    </row>
    <row r="57" spans="1:13" s="62" customFormat="1">
      <c r="A57" s="963"/>
      <c r="B57" s="980" t="s">
        <v>306</v>
      </c>
      <c r="C57" s="332" t="s">
        <v>307</v>
      </c>
      <c r="D57" s="959" t="s">
        <v>238</v>
      </c>
      <c r="E57" s="960">
        <v>0.8</v>
      </c>
      <c r="F57" s="993"/>
      <c r="G57" s="1000">
        <f>E57*F57</f>
        <v>0</v>
      </c>
      <c r="H57" s="1001">
        <v>15</v>
      </c>
      <c r="I57" s="1002" t="s">
        <v>308</v>
      </c>
      <c r="J57" s="1003" t="s">
        <v>256</v>
      </c>
      <c r="K57" s="999" t="str">
        <f>IF(F57&lt;15,"许可没有达到最低要求","SUCCESS")</f>
        <v>许可没有达到最低要求</v>
      </c>
      <c r="L57" s="994" t="s">
        <v>821</v>
      </c>
      <c r="M57" s="932"/>
    </row>
    <row r="58" spans="1:13" s="62" customFormat="1">
      <c r="A58" s="963"/>
      <c r="B58" s="980"/>
      <c r="C58" s="332" t="s">
        <v>306</v>
      </c>
      <c r="D58" s="959"/>
      <c r="E58" s="960"/>
      <c r="F58" s="993"/>
      <c r="G58" s="1000"/>
      <c r="H58" s="1001"/>
      <c r="I58" s="1002"/>
      <c r="J58" s="1003"/>
      <c r="K58" s="999"/>
      <c r="L58" s="994"/>
      <c r="M58" s="932"/>
    </row>
    <row r="59" spans="1:13" s="62" customFormat="1" ht="13.5" customHeight="1">
      <c r="A59" s="963"/>
      <c r="B59" s="997" t="s">
        <v>309</v>
      </c>
      <c r="C59" s="332" t="s">
        <v>309</v>
      </c>
      <c r="D59" s="959" t="s">
        <v>238</v>
      </c>
      <c r="E59" s="960">
        <v>1</v>
      </c>
      <c r="F59" s="993"/>
      <c r="G59" s="953">
        <f>E59*F59</f>
        <v>0</v>
      </c>
      <c r="H59" s="954">
        <v>15</v>
      </c>
      <c r="I59" s="998" t="s">
        <v>310</v>
      </c>
      <c r="J59" s="962" t="s">
        <v>22</v>
      </c>
      <c r="K59" s="999" t="str">
        <f>IF(F59&lt;15,"许可没有达到最低要求","SUCCESS")</f>
        <v>许可没有达到最低要求</v>
      </c>
      <c r="L59" s="994" t="s">
        <v>824</v>
      </c>
      <c r="M59" s="945" t="s">
        <v>693</v>
      </c>
    </row>
    <row r="60" spans="1:13" s="62" customFormat="1">
      <c r="A60" s="963"/>
      <c r="B60" s="997"/>
      <c r="C60" s="332" t="s">
        <v>311</v>
      </c>
      <c r="D60" s="959"/>
      <c r="E60" s="960"/>
      <c r="F60" s="993"/>
      <c r="G60" s="953"/>
      <c r="H60" s="954"/>
      <c r="I60" s="998"/>
      <c r="J60" s="962"/>
      <c r="K60" s="999"/>
      <c r="L60" s="994"/>
      <c r="M60" s="945"/>
    </row>
    <row r="61" spans="1:13" s="62" customFormat="1" ht="13.5" customHeight="1">
      <c r="A61" s="963"/>
      <c r="B61" s="950" t="s">
        <v>312</v>
      </c>
      <c r="C61" s="332" t="s">
        <v>313</v>
      </c>
      <c r="D61" s="959" t="s">
        <v>238</v>
      </c>
      <c r="E61" s="960">
        <v>1.5</v>
      </c>
      <c r="F61" s="993"/>
      <c r="G61" s="953">
        <f>E61*F61</f>
        <v>0</v>
      </c>
      <c r="H61" s="954">
        <v>15</v>
      </c>
      <c r="I61" s="965" t="s">
        <v>310</v>
      </c>
      <c r="J61" s="955" t="s">
        <v>243</v>
      </c>
      <c r="K61" s="956" t="str">
        <f>IF(F61&lt;15,"许可没有达到最低要求","SUCCESS")</f>
        <v>许可没有达到最低要求</v>
      </c>
      <c r="L61" s="994" t="s">
        <v>822</v>
      </c>
      <c r="M61" s="945" t="s">
        <v>693</v>
      </c>
    </row>
    <row r="62" spans="1:13" s="62" customFormat="1">
      <c r="A62" s="963"/>
      <c r="B62" s="950"/>
      <c r="C62" s="332" t="s">
        <v>314</v>
      </c>
      <c r="D62" s="959"/>
      <c r="E62" s="960"/>
      <c r="F62" s="993"/>
      <c r="G62" s="953"/>
      <c r="H62" s="954"/>
      <c r="I62" s="965"/>
      <c r="J62" s="955"/>
      <c r="K62" s="956"/>
      <c r="L62" s="994"/>
      <c r="M62" s="945"/>
    </row>
    <row r="63" spans="1:13" s="62" customFormat="1" ht="51" customHeight="1">
      <c r="A63" s="963"/>
      <c r="B63" s="950"/>
      <c r="C63" s="332" t="s">
        <v>315</v>
      </c>
      <c r="D63" s="959"/>
      <c r="E63" s="960"/>
      <c r="F63" s="993"/>
      <c r="G63" s="953"/>
      <c r="H63" s="954"/>
      <c r="I63" s="965"/>
      <c r="J63" s="955"/>
      <c r="K63" s="956"/>
      <c r="L63" s="994"/>
      <c r="M63" s="945"/>
    </row>
    <row r="64" spans="1:13" s="62" customFormat="1" ht="56.25" customHeight="1">
      <c r="A64" s="963"/>
      <c r="B64" s="308" t="s">
        <v>316</v>
      </c>
      <c r="C64" s="332" t="s">
        <v>316</v>
      </c>
      <c r="D64" s="306" t="s">
        <v>238</v>
      </c>
      <c r="E64" s="307">
        <v>0.5</v>
      </c>
      <c r="F64" s="315"/>
      <c r="G64" s="313">
        <f>E64*F64</f>
        <v>0</v>
      </c>
      <c r="H64" s="318">
        <v>15</v>
      </c>
      <c r="I64" s="506" t="s">
        <v>308</v>
      </c>
      <c r="J64" s="321" t="s">
        <v>243</v>
      </c>
      <c r="K64" s="322" t="str">
        <f>IF(F64&lt;15,"许可没有达到最低要求","SUCCESS")</f>
        <v>许可没有达到最低要求</v>
      </c>
      <c r="L64" s="544" t="s">
        <v>823</v>
      </c>
      <c r="M64" s="405"/>
    </row>
    <row r="65" spans="1:13" s="62" customFormat="1" ht="21.75" customHeight="1">
      <c r="A65" s="963"/>
      <c r="B65" s="302" t="s">
        <v>317</v>
      </c>
      <c r="C65" s="332" t="s">
        <v>317</v>
      </c>
      <c r="D65" s="306" t="s">
        <v>238</v>
      </c>
      <c r="E65" s="307">
        <v>20</v>
      </c>
      <c r="F65" s="317"/>
      <c r="G65" s="325">
        <f>IF(F65&lt;=0,0,E65*(F65-2)+E65)</f>
        <v>0</v>
      </c>
      <c r="H65" s="334">
        <v>2</v>
      </c>
      <c r="I65" s="506" t="s">
        <v>90</v>
      </c>
      <c r="J65" s="303" t="s">
        <v>256</v>
      </c>
      <c r="K65" s="304" t="str">
        <f>IF(F65&lt;2,"许可没有达到最低要求","SUCCESS")</f>
        <v>许可没有达到最低要求</v>
      </c>
      <c r="L65" s="316" t="s">
        <v>318</v>
      </c>
      <c r="M65" s="469" t="s">
        <v>694</v>
      </c>
    </row>
    <row r="66" spans="1:13" s="62" customFormat="1" ht="13.5" customHeight="1">
      <c r="A66" s="963"/>
      <c r="B66" s="302" t="s">
        <v>319</v>
      </c>
      <c r="C66" s="332" t="s">
        <v>319</v>
      </c>
      <c r="D66" s="306" t="s">
        <v>238</v>
      </c>
      <c r="E66" s="307">
        <v>30</v>
      </c>
      <c r="F66" s="312"/>
      <c r="G66" s="325">
        <f>IF(F66&gt;=1,E66,0)</f>
        <v>0</v>
      </c>
      <c r="H66" s="68" t="s">
        <v>237</v>
      </c>
      <c r="I66" s="506" t="s">
        <v>33</v>
      </c>
      <c r="J66" s="303" t="s">
        <v>243</v>
      </c>
      <c r="K66" s="309" t="s">
        <v>238</v>
      </c>
      <c r="L66" s="316" t="s">
        <v>318</v>
      </c>
      <c r="M66" s="466" t="s">
        <v>320</v>
      </c>
    </row>
    <row r="67" spans="1:13" s="62" customFormat="1">
      <c r="A67" s="966" t="s">
        <v>321</v>
      </c>
      <c r="B67" s="950" t="s">
        <v>321</v>
      </c>
      <c r="C67" s="332" t="s">
        <v>322</v>
      </c>
      <c r="D67" s="959" t="s">
        <v>238</v>
      </c>
      <c r="E67" s="960">
        <v>1.6</v>
      </c>
      <c r="F67" s="952"/>
      <c r="G67" s="953">
        <f>E67*F67</f>
        <v>0</v>
      </c>
      <c r="H67" s="954">
        <v>20</v>
      </c>
      <c r="I67" s="965" t="s">
        <v>323</v>
      </c>
      <c r="J67" s="955" t="s">
        <v>243</v>
      </c>
      <c r="K67" s="956" t="str">
        <f>IF(F67&lt;20,"许可没有达到最低要求","SUCCESS")</f>
        <v>许可没有达到最低要求</v>
      </c>
      <c r="L67" s="994"/>
      <c r="M67" s="932"/>
    </row>
    <row r="68" spans="1:13" s="62" customFormat="1">
      <c r="A68" s="966"/>
      <c r="B68" s="992"/>
      <c r="C68" s="332" t="s">
        <v>324</v>
      </c>
      <c r="D68" s="959"/>
      <c r="E68" s="960"/>
      <c r="F68" s="952"/>
      <c r="G68" s="953"/>
      <c r="H68" s="954"/>
      <c r="I68" s="965"/>
      <c r="J68" s="955"/>
      <c r="K68" s="956"/>
      <c r="L68" s="994"/>
      <c r="M68" s="932"/>
    </row>
    <row r="69" spans="1:13" s="62" customFormat="1">
      <c r="A69" s="966"/>
      <c r="B69" s="992"/>
      <c r="C69" s="332" t="s">
        <v>97</v>
      </c>
      <c r="D69" s="959"/>
      <c r="E69" s="960"/>
      <c r="F69" s="952"/>
      <c r="G69" s="953"/>
      <c r="H69" s="954"/>
      <c r="I69" s="965"/>
      <c r="J69" s="955"/>
      <c r="K69" s="956"/>
      <c r="L69" s="994"/>
      <c r="M69" s="932"/>
    </row>
    <row r="70" spans="1:13" s="62" customFormat="1">
      <c r="A70" s="966"/>
      <c r="B70" s="992"/>
      <c r="C70" s="332" t="s">
        <v>325</v>
      </c>
      <c r="D70" s="959"/>
      <c r="E70" s="960"/>
      <c r="F70" s="952"/>
      <c r="G70" s="953"/>
      <c r="H70" s="954"/>
      <c r="I70" s="965"/>
      <c r="J70" s="955"/>
      <c r="K70" s="956"/>
      <c r="L70" s="994"/>
      <c r="M70" s="932"/>
    </row>
    <row r="71" spans="1:13" s="62" customFormat="1">
      <c r="A71" s="966"/>
      <c r="B71" s="992"/>
      <c r="C71" s="332" t="s">
        <v>326</v>
      </c>
      <c r="D71" s="959"/>
      <c r="E71" s="960"/>
      <c r="F71" s="952"/>
      <c r="G71" s="953"/>
      <c r="H71" s="954"/>
      <c r="I71" s="965"/>
      <c r="J71" s="955"/>
      <c r="K71" s="956"/>
      <c r="L71" s="994"/>
      <c r="M71" s="932"/>
    </row>
    <row r="72" spans="1:13" s="62" customFormat="1">
      <c r="A72" s="966"/>
      <c r="B72" s="992"/>
      <c r="C72" s="332" t="s">
        <v>327</v>
      </c>
      <c r="D72" s="959"/>
      <c r="E72" s="960"/>
      <c r="F72" s="952"/>
      <c r="G72" s="953"/>
      <c r="H72" s="954"/>
      <c r="I72" s="965"/>
      <c r="J72" s="955"/>
      <c r="K72" s="956"/>
      <c r="L72" s="994"/>
      <c r="M72" s="932"/>
    </row>
    <row r="73" spans="1:13" s="62" customFormat="1">
      <c r="A73" s="966"/>
      <c r="B73" s="992"/>
      <c r="C73" s="332" t="s">
        <v>101</v>
      </c>
      <c r="D73" s="959"/>
      <c r="E73" s="960"/>
      <c r="F73" s="952"/>
      <c r="G73" s="953"/>
      <c r="H73" s="954"/>
      <c r="I73" s="965"/>
      <c r="J73" s="955"/>
      <c r="K73" s="956"/>
      <c r="L73" s="994"/>
      <c r="M73" s="932"/>
    </row>
    <row r="74" spans="1:13" s="62" customFormat="1">
      <c r="A74" s="966"/>
      <c r="B74" s="992"/>
      <c r="C74" s="332" t="s">
        <v>328</v>
      </c>
      <c r="D74" s="959"/>
      <c r="E74" s="960"/>
      <c r="F74" s="952"/>
      <c r="G74" s="953"/>
      <c r="H74" s="954"/>
      <c r="I74" s="965"/>
      <c r="J74" s="955"/>
      <c r="K74" s="956"/>
      <c r="L74" s="994"/>
      <c r="M74" s="932"/>
    </row>
    <row r="75" spans="1:13" s="62" customFormat="1">
      <c r="A75" s="966"/>
      <c r="B75" s="992"/>
      <c r="C75" s="339" t="s">
        <v>329</v>
      </c>
      <c r="D75" s="959"/>
      <c r="E75" s="960"/>
      <c r="F75" s="952"/>
      <c r="G75" s="953"/>
      <c r="H75" s="954"/>
      <c r="I75" s="965"/>
      <c r="J75" s="955"/>
      <c r="K75" s="956"/>
      <c r="L75" s="994"/>
      <c r="M75" s="932"/>
    </row>
    <row r="76" spans="1:13" s="62" customFormat="1">
      <c r="A76" s="966"/>
      <c r="B76" s="992"/>
      <c r="C76" s="332" t="s">
        <v>330</v>
      </c>
      <c r="D76" s="959"/>
      <c r="E76" s="960"/>
      <c r="F76" s="952"/>
      <c r="G76" s="953"/>
      <c r="H76" s="954"/>
      <c r="I76" s="965"/>
      <c r="J76" s="955"/>
      <c r="K76" s="956"/>
      <c r="L76" s="994"/>
      <c r="M76" s="932"/>
    </row>
    <row r="77" spans="1:13" s="62" customFormat="1" ht="24">
      <c r="A77" s="966"/>
      <c r="B77" s="335" t="s">
        <v>624</v>
      </c>
      <c r="C77" s="339" t="s">
        <v>623</v>
      </c>
      <c r="D77" s="306" t="s">
        <v>625</v>
      </c>
      <c r="E77" s="307">
        <v>2</v>
      </c>
      <c r="F77" s="312"/>
      <c r="G77" s="343">
        <f>E77*F77</f>
        <v>0</v>
      </c>
      <c r="H77" s="340">
        <v>5</v>
      </c>
      <c r="I77" s="508" t="s">
        <v>308</v>
      </c>
      <c r="J77" s="341" t="s">
        <v>626</v>
      </c>
      <c r="K77" s="304" t="str">
        <f>IF(F77&lt;3,"许可没有达到最低要求","SUCCESS")</f>
        <v>许可没有达到最低要求</v>
      </c>
      <c r="L77" s="342"/>
      <c r="M77" s="405"/>
    </row>
    <row r="78" spans="1:13" s="62" customFormat="1">
      <c r="A78" s="966"/>
      <c r="B78" s="1020" t="s">
        <v>628</v>
      </c>
      <c r="C78" s="1048" t="s">
        <v>627</v>
      </c>
      <c r="D78" s="165">
        <v>5</v>
      </c>
      <c r="E78" s="307">
        <v>2</v>
      </c>
      <c r="F78" s="985"/>
      <c r="G78" s="1052">
        <f>(IF(F78&lt;=5,F78*2,IF(F78&lt;=20,5*2+(F78-5)*1.4,IF(F78&gt;=21,5*2+15*1.4+(F78-20)*0.6,0))))</f>
        <v>0</v>
      </c>
      <c r="H78" s="1049">
        <v>5</v>
      </c>
      <c r="I78" s="1050" t="s">
        <v>629</v>
      </c>
      <c r="J78" s="1051" t="s">
        <v>626</v>
      </c>
      <c r="K78" s="956" t="str">
        <f>IF(F78&lt;3,"许可没有达到最低要求","SUCCESS")</f>
        <v>许可没有达到最低要求</v>
      </c>
      <c r="L78" s="1047"/>
      <c r="M78" s="946" t="s">
        <v>631</v>
      </c>
    </row>
    <row r="79" spans="1:13" s="62" customFormat="1">
      <c r="A79" s="966"/>
      <c r="B79" s="1020"/>
      <c r="C79" s="1048"/>
      <c r="D79" s="166" t="s">
        <v>785</v>
      </c>
      <c r="E79" s="307">
        <v>1.4</v>
      </c>
      <c r="F79" s="985"/>
      <c r="G79" s="1052"/>
      <c r="H79" s="1049"/>
      <c r="I79" s="1050"/>
      <c r="J79" s="1051"/>
      <c r="K79" s="956"/>
      <c r="L79" s="1047"/>
      <c r="M79" s="947"/>
    </row>
    <row r="80" spans="1:13" s="62" customFormat="1">
      <c r="A80" s="966"/>
      <c r="B80" s="1020"/>
      <c r="C80" s="1048"/>
      <c r="D80" s="165" t="s">
        <v>632</v>
      </c>
      <c r="E80" s="307">
        <v>0.6</v>
      </c>
      <c r="F80" s="985"/>
      <c r="G80" s="1052"/>
      <c r="H80" s="1049"/>
      <c r="I80" s="1050"/>
      <c r="J80" s="1051"/>
      <c r="K80" s="956"/>
      <c r="L80" s="1047"/>
      <c r="M80" s="947"/>
    </row>
    <row r="81" spans="1:13" s="62" customFormat="1" ht="13.5" customHeight="1">
      <c r="A81" s="966"/>
      <c r="B81" s="335" t="s">
        <v>634</v>
      </c>
      <c r="C81" s="339" t="s">
        <v>633</v>
      </c>
      <c r="D81" s="306" t="s">
        <v>625</v>
      </c>
      <c r="E81" s="307">
        <v>20</v>
      </c>
      <c r="F81" s="312"/>
      <c r="G81" s="343">
        <f t="shared" ref="G81" si="1">IF(F81&gt;=1,E81,0)</f>
        <v>0</v>
      </c>
      <c r="H81" s="297" t="s">
        <v>238</v>
      </c>
      <c r="I81" s="508" t="s">
        <v>33</v>
      </c>
      <c r="J81" s="341" t="s">
        <v>626</v>
      </c>
      <c r="K81" s="304" t="s">
        <v>639</v>
      </c>
      <c r="L81" s="342"/>
      <c r="M81" s="405"/>
    </row>
    <row r="82" spans="1:13" s="62" customFormat="1">
      <c r="A82" s="969" t="s">
        <v>773</v>
      </c>
      <c r="B82" s="997" t="s">
        <v>773</v>
      </c>
      <c r="C82" s="332" t="s">
        <v>331</v>
      </c>
      <c r="D82" s="959" t="s">
        <v>238</v>
      </c>
      <c r="E82" s="960">
        <v>2.7</v>
      </c>
      <c r="F82" s="952"/>
      <c r="G82" s="953">
        <f>E82*F82</f>
        <v>0</v>
      </c>
      <c r="H82" s="954">
        <v>10</v>
      </c>
      <c r="I82" s="965" t="s">
        <v>323</v>
      </c>
      <c r="J82" s="955" t="s">
        <v>332</v>
      </c>
      <c r="K82" s="956" t="str">
        <f>IF(F82&lt;10,"许可没有达到最低要求","SUCCESS")</f>
        <v>许可没有达到最低要求</v>
      </c>
      <c r="L82" s="994" t="s">
        <v>333</v>
      </c>
      <c r="M82" s="932"/>
    </row>
    <row r="83" spans="1:13" s="62" customFormat="1">
      <c r="A83" s="969"/>
      <c r="B83" s="997"/>
      <c r="C83" s="332" t="s">
        <v>334</v>
      </c>
      <c r="D83" s="959"/>
      <c r="E83" s="960"/>
      <c r="F83" s="952"/>
      <c r="G83" s="953"/>
      <c r="H83" s="954"/>
      <c r="I83" s="965"/>
      <c r="J83" s="955"/>
      <c r="K83" s="956"/>
      <c r="L83" s="994"/>
      <c r="M83" s="932"/>
    </row>
    <row r="84" spans="1:13" s="62" customFormat="1" ht="13.5" customHeight="1">
      <c r="A84" s="966" t="s">
        <v>335</v>
      </c>
      <c r="B84" s="950" t="s">
        <v>336</v>
      </c>
      <c r="C84" s="951" t="s">
        <v>337</v>
      </c>
      <c r="D84" s="324" t="s">
        <v>338</v>
      </c>
      <c r="E84" s="307">
        <v>0.2</v>
      </c>
      <c r="F84" s="952"/>
      <c r="G84" s="953">
        <f>IF(F84&lt;=500,F84*0.2,IF(F84&lt;=2000,500*0.2+(F84-500)*0.15,IF(F84&lt;=5000,500*0.2+1500*0.15+(F84-2000)*0.05,IF(F84&lt;=10000,500*0.2+1500*0.15+3000*0.05+(F84-5000)*0.02,IF(F84&gt;=10001,500*0.2+1500*0.15+3000*0.05+5000*0.02+(F84-10000)*0.01)))))</f>
        <v>0</v>
      </c>
      <c r="H84" s="954">
        <v>50</v>
      </c>
      <c r="I84" s="965" t="s">
        <v>780</v>
      </c>
      <c r="J84" s="955" t="s">
        <v>243</v>
      </c>
      <c r="K84" s="956" t="str">
        <f>IF(F84&lt;50,"许可没有达到最低要求","SUCCESS")</f>
        <v>许可没有达到最低要求</v>
      </c>
      <c r="L84" s="994" t="s">
        <v>776</v>
      </c>
      <c r="M84" s="932" t="s">
        <v>339</v>
      </c>
    </row>
    <row r="85" spans="1:13" s="62" customFormat="1">
      <c r="A85" s="966"/>
      <c r="B85" s="950"/>
      <c r="C85" s="951"/>
      <c r="D85" s="324" t="s">
        <v>340</v>
      </c>
      <c r="E85" s="307">
        <v>0.15</v>
      </c>
      <c r="F85" s="952"/>
      <c r="G85" s="953"/>
      <c r="H85" s="954"/>
      <c r="I85" s="965"/>
      <c r="J85" s="955"/>
      <c r="K85" s="956"/>
      <c r="L85" s="994"/>
      <c r="M85" s="932"/>
    </row>
    <row r="86" spans="1:13" s="62" customFormat="1">
      <c r="A86" s="966"/>
      <c r="B86" s="950"/>
      <c r="C86" s="951"/>
      <c r="D86" s="324" t="s">
        <v>341</v>
      </c>
      <c r="E86" s="307">
        <v>0.05</v>
      </c>
      <c r="F86" s="952"/>
      <c r="G86" s="953"/>
      <c r="H86" s="954"/>
      <c r="I86" s="965"/>
      <c r="J86" s="955"/>
      <c r="K86" s="956"/>
      <c r="L86" s="994"/>
      <c r="M86" s="932"/>
    </row>
    <row r="87" spans="1:13" s="62" customFormat="1" ht="13.5" customHeight="1">
      <c r="A87" s="966"/>
      <c r="B87" s="950"/>
      <c r="C87" s="951"/>
      <c r="D87" s="324" t="s">
        <v>342</v>
      </c>
      <c r="E87" s="307">
        <v>0.02</v>
      </c>
      <c r="F87" s="952"/>
      <c r="G87" s="953"/>
      <c r="H87" s="954"/>
      <c r="I87" s="965"/>
      <c r="J87" s="955"/>
      <c r="K87" s="956"/>
      <c r="L87" s="994"/>
      <c r="M87" s="932"/>
    </row>
    <row r="88" spans="1:13" s="62" customFormat="1" ht="13.5" customHeight="1">
      <c r="A88" s="966"/>
      <c r="B88" s="950"/>
      <c r="C88" s="951"/>
      <c r="D88" s="324" t="s">
        <v>777</v>
      </c>
      <c r="E88" s="307">
        <v>0.01</v>
      </c>
      <c r="F88" s="952"/>
      <c r="G88" s="953"/>
      <c r="H88" s="954"/>
      <c r="I88" s="965"/>
      <c r="J88" s="955"/>
      <c r="K88" s="956"/>
      <c r="L88" s="994"/>
      <c r="M88" s="932"/>
    </row>
    <row r="89" spans="1:13" s="62" customFormat="1" ht="13.5" customHeight="1">
      <c r="A89" s="966"/>
      <c r="B89" s="950" t="s">
        <v>335</v>
      </c>
      <c r="C89" s="958" t="s">
        <v>343</v>
      </c>
      <c r="D89" s="959" t="s">
        <v>238</v>
      </c>
      <c r="E89" s="960">
        <v>2.7</v>
      </c>
      <c r="F89" s="993"/>
      <c r="G89" s="953">
        <f>E89*F89</f>
        <v>0</v>
      </c>
      <c r="H89" s="954">
        <v>5</v>
      </c>
      <c r="I89" s="965" t="s">
        <v>246</v>
      </c>
      <c r="J89" s="955" t="s">
        <v>243</v>
      </c>
      <c r="K89" s="956" t="str">
        <f>IF(F89&lt;5,"许可没有达到最低要求","SUCCESS")</f>
        <v>许可没有达到最低要求</v>
      </c>
      <c r="L89" s="994" t="s">
        <v>597</v>
      </c>
      <c r="M89" s="932" t="s">
        <v>344</v>
      </c>
    </row>
    <row r="90" spans="1:13" s="62" customFormat="1" ht="10.5" customHeight="1">
      <c r="A90" s="966"/>
      <c r="B90" s="950"/>
      <c r="C90" s="958"/>
      <c r="D90" s="959"/>
      <c r="E90" s="960"/>
      <c r="F90" s="993"/>
      <c r="G90" s="953"/>
      <c r="H90" s="954"/>
      <c r="I90" s="965"/>
      <c r="J90" s="955"/>
      <c r="K90" s="956"/>
      <c r="L90" s="994"/>
      <c r="M90" s="932"/>
    </row>
    <row r="91" spans="1:13" s="62" customFormat="1" ht="12" customHeight="1">
      <c r="A91" s="966"/>
      <c r="B91" s="950"/>
      <c r="C91" s="332" t="s">
        <v>345</v>
      </c>
      <c r="D91" s="959"/>
      <c r="E91" s="960"/>
      <c r="F91" s="993"/>
      <c r="G91" s="953"/>
      <c r="H91" s="954"/>
      <c r="I91" s="965"/>
      <c r="J91" s="955"/>
      <c r="K91" s="956"/>
      <c r="L91" s="994"/>
      <c r="M91" s="932"/>
    </row>
    <row r="92" spans="1:13" s="62" customFormat="1" ht="22.5" customHeight="1">
      <c r="A92" s="966"/>
      <c r="B92" s="950"/>
      <c r="C92" s="332" t="s">
        <v>346</v>
      </c>
      <c r="D92" s="324" t="s">
        <v>238</v>
      </c>
      <c r="E92" s="73" t="s">
        <v>238</v>
      </c>
      <c r="F92" s="312"/>
      <c r="G92" s="313">
        <f>IF(F92&gt;=1,G89*0.2+G82*0.2,0)</f>
        <v>0</v>
      </c>
      <c r="H92" s="74" t="s">
        <v>237</v>
      </c>
      <c r="I92" s="348" t="s">
        <v>127</v>
      </c>
      <c r="J92" s="303" t="s">
        <v>243</v>
      </c>
      <c r="K92" s="309" t="s">
        <v>238</v>
      </c>
      <c r="L92" s="544" t="s">
        <v>826</v>
      </c>
      <c r="M92" s="466" t="s">
        <v>598</v>
      </c>
    </row>
    <row r="93" spans="1:13" s="62" customFormat="1" ht="24" customHeight="1">
      <c r="A93" s="966"/>
      <c r="B93" s="950"/>
      <c r="C93" s="332" t="s">
        <v>347</v>
      </c>
      <c r="D93" s="324" t="s">
        <v>238</v>
      </c>
      <c r="E93" s="73" t="s">
        <v>238</v>
      </c>
      <c r="F93" s="312"/>
      <c r="G93" s="313">
        <f>IF(F93&gt;=1,G89*0.05+G82*0.05,0)</f>
        <v>0</v>
      </c>
      <c r="H93" s="74" t="s">
        <v>237</v>
      </c>
      <c r="I93" s="348" t="s">
        <v>127</v>
      </c>
      <c r="J93" s="303" t="s">
        <v>243</v>
      </c>
      <c r="K93" s="309" t="s">
        <v>238</v>
      </c>
      <c r="L93" s="316" t="s">
        <v>601</v>
      </c>
      <c r="M93" s="466" t="s">
        <v>599</v>
      </c>
    </row>
    <row r="94" spans="1:13" s="62" customFormat="1">
      <c r="A94" s="966" t="s">
        <v>348</v>
      </c>
      <c r="B94" s="950" t="s">
        <v>349</v>
      </c>
      <c r="C94" s="332" t="s">
        <v>350</v>
      </c>
      <c r="D94" s="1006" t="s">
        <v>238</v>
      </c>
      <c r="E94" s="960">
        <v>2.2000000000000002</v>
      </c>
      <c r="F94" s="952"/>
      <c r="G94" s="953">
        <f>E94*F94</f>
        <v>0</v>
      </c>
      <c r="H94" s="954">
        <v>20</v>
      </c>
      <c r="I94" s="965" t="s">
        <v>308</v>
      </c>
      <c r="J94" s="955" t="s">
        <v>243</v>
      </c>
      <c r="K94" s="1007" t="str">
        <f>IF(F94&lt;20,"许可没有达到最低要求","SUCCESS")</f>
        <v>许可没有达到最低要求</v>
      </c>
      <c r="L94" s="1005"/>
      <c r="M94" s="948"/>
    </row>
    <row r="95" spans="1:13" s="62" customFormat="1">
      <c r="A95" s="966"/>
      <c r="B95" s="950"/>
      <c r="C95" s="332" t="s">
        <v>351</v>
      </c>
      <c r="D95" s="1006"/>
      <c r="E95" s="960"/>
      <c r="F95" s="952"/>
      <c r="G95" s="953"/>
      <c r="H95" s="954"/>
      <c r="I95" s="965"/>
      <c r="J95" s="955"/>
      <c r="K95" s="1007"/>
      <c r="L95" s="1005"/>
      <c r="M95" s="948"/>
    </row>
    <row r="96" spans="1:13" s="62" customFormat="1">
      <c r="A96" s="966"/>
      <c r="B96" s="950"/>
      <c r="C96" s="332" t="s">
        <v>352</v>
      </c>
      <c r="D96" s="1006"/>
      <c r="E96" s="960"/>
      <c r="F96" s="952"/>
      <c r="G96" s="953"/>
      <c r="H96" s="954"/>
      <c r="I96" s="965"/>
      <c r="J96" s="955"/>
      <c r="K96" s="1007"/>
      <c r="L96" s="1005"/>
      <c r="M96" s="948"/>
    </row>
    <row r="97" spans="1:13" s="62" customFormat="1" ht="11.25" customHeight="1">
      <c r="A97" s="966"/>
      <c r="B97" s="950"/>
      <c r="C97" s="332" t="s">
        <v>353</v>
      </c>
      <c r="D97" s="1006"/>
      <c r="E97" s="960"/>
      <c r="F97" s="952"/>
      <c r="G97" s="953"/>
      <c r="H97" s="954"/>
      <c r="I97" s="965"/>
      <c r="J97" s="955"/>
      <c r="K97" s="1007"/>
      <c r="L97" s="1005"/>
      <c r="M97" s="948"/>
    </row>
    <row r="98" spans="1:13" s="62" customFormat="1" ht="12.75" customHeight="1">
      <c r="A98" s="966"/>
      <c r="B98" s="950"/>
      <c r="C98" s="332" t="s">
        <v>354</v>
      </c>
      <c r="D98" s="1006"/>
      <c r="E98" s="960"/>
      <c r="F98" s="952"/>
      <c r="G98" s="953"/>
      <c r="H98" s="954"/>
      <c r="I98" s="965"/>
      <c r="J98" s="955"/>
      <c r="K98" s="1007"/>
      <c r="L98" s="1005"/>
      <c r="M98" s="948"/>
    </row>
    <row r="99" spans="1:13" s="62" customFormat="1" ht="12.75" customHeight="1">
      <c r="A99" s="966"/>
      <c r="B99" s="950"/>
      <c r="C99" s="332" t="s">
        <v>355</v>
      </c>
      <c r="D99" s="1006"/>
      <c r="E99" s="960"/>
      <c r="F99" s="952"/>
      <c r="G99" s="953"/>
      <c r="H99" s="954"/>
      <c r="I99" s="965"/>
      <c r="J99" s="955"/>
      <c r="K99" s="1007"/>
      <c r="L99" s="1005"/>
      <c r="M99" s="948"/>
    </row>
    <row r="100" spans="1:13" s="62" customFormat="1" ht="19.5" customHeight="1">
      <c r="A100" s="966"/>
      <c r="B100" s="950"/>
      <c r="C100" s="332" t="s">
        <v>356</v>
      </c>
      <c r="D100" s="1006"/>
      <c r="E100" s="960"/>
      <c r="F100" s="952"/>
      <c r="G100" s="953"/>
      <c r="H100" s="954"/>
      <c r="I100" s="965"/>
      <c r="J100" s="955"/>
      <c r="K100" s="1007"/>
      <c r="L100" s="1005"/>
      <c r="M100" s="948"/>
    </row>
    <row r="101" spans="1:13" s="62" customFormat="1">
      <c r="A101" s="963" t="s">
        <v>377</v>
      </c>
      <c r="B101" s="950" t="s">
        <v>377</v>
      </c>
      <c r="C101" s="332" t="s">
        <v>378</v>
      </c>
      <c r="D101" s="324" t="s">
        <v>379</v>
      </c>
      <c r="E101" s="326">
        <v>5</v>
      </c>
      <c r="F101" s="952"/>
      <c r="G101" s="953">
        <f>IF(F101&lt;=20,F101*5,IF(F101&lt;=50,20*5+(F101-20)*4,IF(F101&lt;=100,20*5+30*4+(F101-50)*3.5,IF(F101&gt;=100,20*5+30*4+50*3.5+(F101-100)*3))))</f>
        <v>0</v>
      </c>
      <c r="H101" s="954">
        <v>15</v>
      </c>
      <c r="I101" s="965" t="s">
        <v>308</v>
      </c>
      <c r="J101" s="955" t="s">
        <v>243</v>
      </c>
      <c r="K101" s="956" t="str">
        <f>IF(F101&lt;15,"许可没有达到最低要求","SUCCESS")</f>
        <v>许可没有达到最低要求</v>
      </c>
      <c r="L101" s="994" t="s">
        <v>380</v>
      </c>
      <c r="M101" s="945"/>
    </row>
    <row r="102" spans="1:13" s="62" customFormat="1">
      <c r="A102" s="963"/>
      <c r="B102" s="950"/>
      <c r="C102" s="332" t="s">
        <v>381</v>
      </c>
      <c r="D102" s="324" t="s">
        <v>382</v>
      </c>
      <c r="E102" s="326">
        <v>4</v>
      </c>
      <c r="F102" s="952"/>
      <c r="G102" s="953"/>
      <c r="H102" s="954"/>
      <c r="I102" s="965"/>
      <c r="J102" s="955"/>
      <c r="K102" s="956"/>
      <c r="L102" s="994"/>
      <c r="M102" s="945"/>
    </row>
    <row r="103" spans="1:13" s="62" customFormat="1">
      <c r="A103" s="963"/>
      <c r="B103" s="950"/>
      <c r="C103" s="332" t="s">
        <v>383</v>
      </c>
      <c r="D103" s="1006" t="s">
        <v>384</v>
      </c>
      <c r="E103" s="964">
        <v>3.5</v>
      </c>
      <c r="F103" s="952"/>
      <c r="G103" s="953"/>
      <c r="H103" s="954"/>
      <c r="I103" s="965"/>
      <c r="J103" s="955"/>
      <c r="K103" s="956"/>
      <c r="L103" s="994"/>
      <c r="M103" s="945"/>
    </row>
    <row r="104" spans="1:13" s="62" customFormat="1">
      <c r="A104" s="963"/>
      <c r="B104" s="950"/>
      <c r="C104" s="332" t="s">
        <v>385</v>
      </c>
      <c r="D104" s="1006"/>
      <c r="E104" s="964"/>
      <c r="F104" s="952"/>
      <c r="G104" s="953"/>
      <c r="H104" s="954"/>
      <c r="I104" s="965"/>
      <c r="J104" s="955"/>
      <c r="K104" s="956"/>
      <c r="L104" s="994"/>
      <c r="M104" s="945"/>
    </row>
    <row r="105" spans="1:13" s="62" customFormat="1">
      <c r="A105" s="963"/>
      <c r="B105" s="950"/>
      <c r="C105" s="332" t="s">
        <v>386</v>
      </c>
      <c r="D105" s="1006" t="s">
        <v>387</v>
      </c>
      <c r="E105" s="964">
        <v>3</v>
      </c>
      <c r="F105" s="952"/>
      <c r="G105" s="953"/>
      <c r="H105" s="954"/>
      <c r="I105" s="965"/>
      <c r="J105" s="955"/>
      <c r="K105" s="956"/>
      <c r="L105" s="994"/>
      <c r="M105" s="945"/>
    </row>
    <row r="106" spans="1:13" s="62" customFormat="1" ht="13.5" customHeight="1">
      <c r="A106" s="963"/>
      <c r="B106" s="950"/>
      <c r="C106" s="332" t="s">
        <v>388</v>
      </c>
      <c r="D106" s="1006"/>
      <c r="E106" s="964"/>
      <c r="F106" s="952"/>
      <c r="G106" s="953"/>
      <c r="H106" s="954"/>
      <c r="I106" s="965"/>
      <c r="J106" s="955"/>
      <c r="K106" s="956"/>
      <c r="L106" s="994"/>
      <c r="M106" s="945"/>
    </row>
    <row r="107" spans="1:13" s="62" customFormat="1">
      <c r="A107" s="966" t="s">
        <v>809</v>
      </c>
      <c r="B107" s="950" t="s">
        <v>357</v>
      </c>
      <c r="C107" s="951" t="s">
        <v>359</v>
      </c>
      <c r="D107" s="324" t="s">
        <v>358</v>
      </c>
      <c r="E107" s="307">
        <v>1.5</v>
      </c>
      <c r="F107" s="952"/>
      <c r="G107" s="1008">
        <f>IF(F107&lt;=10,F107*1.5,IF(F107&lt;=100,15+(F107-10)*1,IF(F107&lt;=1000,10*1.5+90*1+(F107-100)*0.5,IF(F107&gt;1000,10*1.5+90*1+900*0.5+(F107-1000)*0.3))))</f>
        <v>0</v>
      </c>
      <c r="H107" s="954">
        <v>10</v>
      </c>
      <c r="I107" s="965" t="s">
        <v>323</v>
      </c>
      <c r="J107" s="955" t="s">
        <v>332</v>
      </c>
      <c r="K107" s="956" t="str">
        <f>IF(F107&lt;10,"许可没有达到最低要求","SUCCESS")</f>
        <v>许可没有达到最低要求</v>
      </c>
      <c r="L107" s="994" t="s">
        <v>596</v>
      </c>
      <c r="M107" s="945"/>
    </row>
    <row r="108" spans="1:13" s="62" customFormat="1">
      <c r="A108" s="966"/>
      <c r="B108" s="950"/>
      <c r="C108" s="951"/>
      <c r="D108" s="324" t="s">
        <v>360</v>
      </c>
      <c r="E108" s="307">
        <v>1</v>
      </c>
      <c r="F108" s="952"/>
      <c r="G108" s="1008"/>
      <c r="H108" s="954"/>
      <c r="I108" s="965"/>
      <c r="J108" s="955"/>
      <c r="K108" s="956"/>
      <c r="L108" s="994"/>
      <c r="M108" s="945"/>
    </row>
    <row r="109" spans="1:13" s="62" customFormat="1">
      <c r="A109" s="966"/>
      <c r="B109" s="950"/>
      <c r="C109" s="957" t="s">
        <v>361</v>
      </c>
      <c r="D109" s="324" t="s">
        <v>362</v>
      </c>
      <c r="E109" s="307">
        <v>0.5</v>
      </c>
      <c r="F109" s="952"/>
      <c r="G109" s="1008"/>
      <c r="H109" s="954"/>
      <c r="I109" s="965"/>
      <c r="J109" s="955"/>
      <c r="K109" s="956"/>
      <c r="L109" s="994"/>
      <c r="M109" s="945"/>
    </row>
    <row r="110" spans="1:13" s="62" customFormat="1" ht="13.5" customHeight="1">
      <c r="A110" s="966"/>
      <c r="B110" s="950"/>
      <c r="C110" s="957"/>
      <c r="D110" s="324" t="s">
        <v>363</v>
      </c>
      <c r="E110" s="307">
        <v>0.3</v>
      </c>
      <c r="F110" s="952"/>
      <c r="G110" s="1008"/>
      <c r="H110" s="954"/>
      <c r="I110" s="965"/>
      <c r="J110" s="955"/>
      <c r="K110" s="956"/>
      <c r="L110" s="994"/>
      <c r="M110" s="945"/>
    </row>
    <row r="111" spans="1:13" s="62" customFormat="1" ht="24">
      <c r="A111" s="966" t="s">
        <v>365</v>
      </c>
      <c r="B111" s="189" t="s">
        <v>488</v>
      </c>
      <c r="C111" s="332" t="s">
        <v>366</v>
      </c>
      <c r="D111" s="324" t="s">
        <v>238</v>
      </c>
      <c r="E111" s="307">
        <v>6.5</v>
      </c>
      <c r="F111" s="315"/>
      <c r="G111" s="313">
        <f>E111*F111</f>
        <v>0</v>
      </c>
      <c r="H111" s="318">
        <v>10</v>
      </c>
      <c r="I111" s="506" t="s">
        <v>323</v>
      </c>
      <c r="J111" s="71" t="s">
        <v>243</v>
      </c>
      <c r="K111" s="72" t="str">
        <f>IF(F111&lt;10,"许可没有达到最低要求","SUCCESS")</f>
        <v>许可没有达到最低要求</v>
      </c>
      <c r="L111" s="316" t="s">
        <v>367</v>
      </c>
      <c r="M111" s="470"/>
    </row>
    <row r="112" spans="1:13" s="62" customFormat="1" ht="23.25" customHeight="1">
      <c r="A112" s="966"/>
      <c r="B112" s="302" t="s">
        <v>489</v>
      </c>
      <c r="C112" s="332" t="s">
        <v>368</v>
      </c>
      <c r="D112" s="324" t="s">
        <v>238</v>
      </c>
      <c r="E112" s="307">
        <v>0</v>
      </c>
      <c r="F112" s="315" t="s">
        <v>238</v>
      </c>
      <c r="G112" s="313" t="s">
        <v>238</v>
      </c>
      <c r="H112" s="318" t="s">
        <v>238</v>
      </c>
      <c r="I112" s="506" t="s">
        <v>323</v>
      </c>
      <c r="J112" s="71" t="s">
        <v>243</v>
      </c>
      <c r="K112" s="304" t="s">
        <v>238</v>
      </c>
      <c r="L112" s="190" t="s">
        <v>369</v>
      </c>
      <c r="M112" s="470"/>
    </row>
    <row r="113" spans="1:13" s="62" customFormat="1" ht="13.5" customHeight="1">
      <c r="A113" s="966"/>
      <c r="B113" s="302" t="s">
        <v>370</v>
      </c>
      <c r="C113" s="332" t="s">
        <v>370</v>
      </c>
      <c r="D113" s="324" t="s">
        <v>238</v>
      </c>
      <c r="E113" s="307">
        <v>3.5</v>
      </c>
      <c r="F113" s="315"/>
      <c r="G113" s="313">
        <f>E113*F113</f>
        <v>0</v>
      </c>
      <c r="H113" s="318">
        <v>10</v>
      </c>
      <c r="I113" s="506" t="s">
        <v>323</v>
      </c>
      <c r="J113" s="71" t="s">
        <v>332</v>
      </c>
      <c r="K113" s="304" t="str">
        <f>IF(F113&lt;10,"许可没有达到最低要求","SUCCESS")</f>
        <v>许可没有达到最低要求</v>
      </c>
      <c r="L113" s="190" t="s">
        <v>369</v>
      </c>
      <c r="M113" s="470"/>
    </row>
    <row r="114" spans="1:13" s="62" customFormat="1" ht="13.5" customHeight="1">
      <c r="A114" s="966"/>
      <c r="B114" s="950" t="s">
        <v>371</v>
      </c>
      <c r="C114" s="951" t="s">
        <v>371</v>
      </c>
      <c r="D114" s="324" t="s">
        <v>372</v>
      </c>
      <c r="E114" s="307">
        <v>0.2</v>
      </c>
      <c r="F114" s="952"/>
      <c r="G114" s="953">
        <f>IF(F114&lt;=200,F114*0.2,IF(F114&lt;=500,200*0.2+(F114-200)*0.15,IF(F114&lt;=2000,200*0.2+300*0.15+(F114-500)*0.1,IF(F114&lt;=5000,200*0.2+300*0.15+1500*0.1+(F114-2000)*0.05,IF(F114&lt;=10000,200*0.2+300*0.15+1500*0.1+3000*0.05+(F114-5000)*0.02,IF(F114&gt;=10001,200*0.2+300*0.15+1500*0.1+3000*0.05+5000*0.02+(F114-10000)*0.01))))))</f>
        <v>0</v>
      </c>
      <c r="H114" s="954">
        <v>50</v>
      </c>
      <c r="I114" s="961" t="s">
        <v>779</v>
      </c>
      <c r="J114" s="962" t="s">
        <v>243</v>
      </c>
      <c r="K114" s="956" t="str">
        <f>IF(F114&lt;25,"许可没有达到最低要求","SUCCESS")</f>
        <v>许可没有达到最低要求</v>
      </c>
      <c r="L114" s="996" t="s">
        <v>136</v>
      </c>
      <c r="M114" s="932" t="s">
        <v>373</v>
      </c>
    </row>
    <row r="115" spans="1:13" s="62" customFormat="1">
      <c r="A115" s="966"/>
      <c r="B115" s="950"/>
      <c r="C115" s="951"/>
      <c r="D115" s="324" t="s">
        <v>374</v>
      </c>
      <c r="E115" s="307">
        <v>0.15</v>
      </c>
      <c r="F115" s="952"/>
      <c r="G115" s="953"/>
      <c r="H115" s="954"/>
      <c r="I115" s="961"/>
      <c r="J115" s="962"/>
      <c r="K115" s="956"/>
      <c r="L115" s="996"/>
      <c r="M115" s="932"/>
    </row>
    <row r="116" spans="1:13" s="62" customFormat="1">
      <c r="A116" s="966"/>
      <c r="B116" s="950"/>
      <c r="C116" s="951"/>
      <c r="D116" s="324" t="s">
        <v>340</v>
      </c>
      <c r="E116" s="307">
        <v>0.1</v>
      </c>
      <c r="F116" s="952"/>
      <c r="G116" s="953"/>
      <c r="H116" s="954"/>
      <c r="I116" s="961"/>
      <c r="J116" s="962"/>
      <c r="K116" s="956"/>
      <c r="L116" s="996"/>
      <c r="M116" s="932"/>
    </row>
    <row r="117" spans="1:13" s="62" customFormat="1">
      <c r="A117" s="966"/>
      <c r="B117" s="950"/>
      <c r="C117" s="951"/>
      <c r="D117" s="324" t="s">
        <v>341</v>
      </c>
      <c r="E117" s="307">
        <v>0.05</v>
      </c>
      <c r="F117" s="952"/>
      <c r="G117" s="953"/>
      <c r="H117" s="954"/>
      <c r="I117" s="961"/>
      <c r="J117" s="962"/>
      <c r="K117" s="956"/>
      <c r="L117" s="996"/>
      <c r="M117" s="932"/>
    </row>
    <row r="118" spans="1:13" s="62" customFormat="1">
      <c r="A118" s="966"/>
      <c r="B118" s="950"/>
      <c r="C118" s="951"/>
      <c r="D118" s="324" t="s">
        <v>778</v>
      </c>
      <c r="E118" s="307">
        <v>0.02</v>
      </c>
      <c r="F118" s="952"/>
      <c r="G118" s="953"/>
      <c r="H118" s="954"/>
      <c r="I118" s="961"/>
      <c r="J118" s="962"/>
      <c r="K118" s="956"/>
      <c r="L118" s="996"/>
      <c r="M118" s="932"/>
    </row>
    <row r="119" spans="1:13" s="62" customFormat="1">
      <c r="A119" s="966"/>
      <c r="B119" s="950"/>
      <c r="C119" s="951"/>
      <c r="D119" s="324" t="s">
        <v>777</v>
      </c>
      <c r="E119" s="307">
        <v>0.01</v>
      </c>
      <c r="F119" s="952"/>
      <c r="G119" s="953"/>
      <c r="H119" s="954"/>
      <c r="I119" s="961"/>
      <c r="J119" s="962"/>
      <c r="K119" s="956"/>
      <c r="L119" s="996"/>
      <c r="M119" s="932"/>
    </row>
    <row r="120" spans="1:13" s="62" customFormat="1">
      <c r="A120" s="966"/>
      <c r="B120" s="367" t="s">
        <v>138</v>
      </c>
      <c r="C120" s="279" t="s">
        <v>138</v>
      </c>
      <c r="D120" s="324" t="s">
        <v>238</v>
      </c>
      <c r="E120" s="73">
        <v>20</v>
      </c>
      <c r="F120" s="312"/>
      <c r="G120" s="313">
        <f>IF(F120=1,E120*F120,0)</f>
        <v>0</v>
      </c>
      <c r="H120" s="318" t="s">
        <v>238</v>
      </c>
      <c r="I120" s="348" t="s">
        <v>33</v>
      </c>
      <c r="J120" s="303" t="s">
        <v>243</v>
      </c>
      <c r="K120" s="309" t="s">
        <v>238</v>
      </c>
      <c r="L120" s="543" t="s">
        <v>375</v>
      </c>
      <c r="M120" s="466"/>
    </row>
    <row r="121" spans="1:13" s="62" customFormat="1" ht="13.5" customHeight="1">
      <c r="A121" s="966"/>
      <c r="B121" s="191" t="s">
        <v>140</v>
      </c>
      <c r="C121" s="192" t="s">
        <v>376</v>
      </c>
      <c r="D121" s="324" t="s">
        <v>238</v>
      </c>
      <c r="E121" s="73">
        <v>10</v>
      </c>
      <c r="F121" s="312"/>
      <c r="G121" s="313">
        <f>IF(F121=1,E121*F121,0)</f>
        <v>0</v>
      </c>
      <c r="H121" s="318" t="s">
        <v>238</v>
      </c>
      <c r="I121" s="348" t="s">
        <v>33</v>
      </c>
      <c r="J121" s="303" t="s">
        <v>243</v>
      </c>
      <c r="K121" s="309" t="s">
        <v>238</v>
      </c>
      <c r="L121" s="544" t="s">
        <v>695</v>
      </c>
      <c r="M121" s="466" t="s">
        <v>690</v>
      </c>
    </row>
    <row r="122" spans="1:13" s="62" customFormat="1">
      <c r="A122" s="970" t="s">
        <v>389</v>
      </c>
      <c r="B122" s="950" t="s">
        <v>389</v>
      </c>
      <c r="C122" s="332" t="s">
        <v>390</v>
      </c>
      <c r="D122" s="1006" t="s">
        <v>238</v>
      </c>
      <c r="E122" s="960">
        <v>2.5</v>
      </c>
      <c r="F122" s="952"/>
      <c r="G122" s="953">
        <f>E122*F122</f>
        <v>0</v>
      </c>
      <c r="H122" s="954">
        <v>20</v>
      </c>
      <c r="I122" s="965" t="s">
        <v>308</v>
      </c>
      <c r="J122" s="955" t="s">
        <v>528</v>
      </c>
      <c r="K122" s="956" t="str">
        <f>IF(F122&lt;15,"许可没有达到最低要求","SUCCESS")</f>
        <v>许可没有达到最低要求</v>
      </c>
      <c r="L122" s="994" t="s">
        <v>807</v>
      </c>
      <c r="M122" s="942"/>
    </row>
    <row r="123" spans="1:13" s="62" customFormat="1">
      <c r="A123" s="971"/>
      <c r="B123" s="950"/>
      <c r="C123" s="332" t="s">
        <v>391</v>
      </c>
      <c r="D123" s="1006"/>
      <c r="E123" s="960"/>
      <c r="F123" s="952"/>
      <c r="G123" s="953"/>
      <c r="H123" s="954"/>
      <c r="I123" s="965"/>
      <c r="J123" s="955"/>
      <c r="K123" s="956"/>
      <c r="L123" s="994"/>
      <c r="M123" s="942"/>
    </row>
    <row r="124" spans="1:13" s="62" customFormat="1">
      <c r="A124" s="971"/>
      <c r="B124" s="950"/>
      <c r="C124" s="332" t="s">
        <v>392</v>
      </c>
      <c r="D124" s="1006"/>
      <c r="E124" s="960"/>
      <c r="F124" s="952"/>
      <c r="G124" s="953"/>
      <c r="H124" s="954"/>
      <c r="I124" s="965"/>
      <c r="J124" s="955"/>
      <c r="K124" s="956"/>
      <c r="L124" s="994"/>
      <c r="M124" s="942"/>
    </row>
    <row r="125" spans="1:13" s="62" customFormat="1">
      <c r="A125" s="971"/>
      <c r="B125" s="950"/>
      <c r="C125" s="332" t="s">
        <v>393</v>
      </c>
      <c r="D125" s="1006"/>
      <c r="E125" s="960"/>
      <c r="F125" s="952"/>
      <c r="G125" s="953"/>
      <c r="H125" s="954"/>
      <c r="I125" s="965"/>
      <c r="J125" s="955"/>
      <c r="K125" s="956"/>
      <c r="L125" s="994"/>
      <c r="M125" s="942"/>
    </row>
    <row r="126" spans="1:13" s="62" customFormat="1" ht="13.5" customHeight="1">
      <c r="A126" s="971"/>
      <c r="B126" s="950"/>
      <c r="C126" s="332" t="s">
        <v>394</v>
      </c>
      <c r="D126" s="1006"/>
      <c r="E126" s="960"/>
      <c r="F126" s="952"/>
      <c r="G126" s="953"/>
      <c r="H126" s="954"/>
      <c r="I126" s="965"/>
      <c r="J126" s="955"/>
      <c r="K126" s="956"/>
      <c r="L126" s="994"/>
      <c r="M126" s="942"/>
    </row>
    <row r="127" spans="1:13" s="62" customFormat="1">
      <c r="A127" s="971"/>
      <c r="B127" s="950"/>
      <c r="C127" s="75" t="s">
        <v>395</v>
      </c>
      <c r="D127" s="1006"/>
      <c r="E127" s="960"/>
      <c r="F127" s="952"/>
      <c r="G127" s="953"/>
      <c r="H127" s="954"/>
      <c r="I127" s="965"/>
      <c r="J127" s="955"/>
      <c r="K127" s="956"/>
      <c r="L127" s="994"/>
      <c r="M127" s="942"/>
    </row>
    <row r="128" spans="1:13" s="62" customFormat="1">
      <c r="A128" s="971"/>
      <c r="B128" s="950"/>
      <c r="C128" s="75" t="s">
        <v>396</v>
      </c>
      <c r="D128" s="1006"/>
      <c r="E128" s="960"/>
      <c r="F128" s="952"/>
      <c r="G128" s="953"/>
      <c r="H128" s="954"/>
      <c r="I128" s="965"/>
      <c r="J128" s="955"/>
      <c r="K128" s="956"/>
      <c r="L128" s="994"/>
      <c r="M128" s="942"/>
    </row>
    <row r="129" spans="1:13" s="62" customFormat="1">
      <c r="A129" s="971"/>
      <c r="B129" s="950"/>
      <c r="C129" s="332" t="s">
        <v>397</v>
      </c>
      <c r="D129" s="1006"/>
      <c r="E129" s="960"/>
      <c r="F129" s="952"/>
      <c r="G129" s="953"/>
      <c r="H129" s="954"/>
      <c r="I129" s="965"/>
      <c r="J129" s="955"/>
      <c r="K129" s="956"/>
      <c r="L129" s="994"/>
      <c r="M129" s="942"/>
    </row>
    <row r="130" spans="1:13" s="62" customFormat="1">
      <c r="A130" s="971"/>
      <c r="B130" s="950"/>
      <c r="C130" s="332" t="s">
        <v>398</v>
      </c>
      <c r="D130" s="1006"/>
      <c r="E130" s="960"/>
      <c r="F130" s="952"/>
      <c r="G130" s="953"/>
      <c r="H130" s="954"/>
      <c r="I130" s="965"/>
      <c r="J130" s="955"/>
      <c r="K130" s="956"/>
      <c r="L130" s="994"/>
      <c r="M130" s="942"/>
    </row>
    <row r="131" spans="1:13" s="62" customFormat="1">
      <c r="A131" s="971"/>
      <c r="B131" s="950"/>
      <c r="C131" s="332" t="s">
        <v>399</v>
      </c>
      <c r="D131" s="1006"/>
      <c r="E131" s="960"/>
      <c r="F131" s="952"/>
      <c r="G131" s="953"/>
      <c r="H131" s="954"/>
      <c r="I131" s="965"/>
      <c r="J131" s="955"/>
      <c r="K131" s="956"/>
      <c r="L131" s="994"/>
      <c r="M131" s="942"/>
    </row>
    <row r="132" spans="1:13" s="62" customFormat="1" ht="20.25" customHeight="1">
      <c r="A132" s="972"/>
      <c r="B132" s="524" t="s">
        <v>800</v>
      </c>
      <c r="C132" s="518" t="s">
        <v>800</v>
      </c>
      <c r="D132" s="523" t="s">
        <v>803</v>
      </c>
      <c r="E132" s="525">
        <v>20</v>
      </c>
      <c r="F132" s="526">
        <v>1</v>
      </c>
      <c r="G132" s="521">
        <f>IF(F132=1,E132*F132,0)</f>
        <v>20</v>
      </c>
      <c r="H132" s="519" t="s">
        <v>803</v>
      </c>
      <c r="I132" s="528" t="s">
        <v>804</v>
      </c>
      <c r="J132" s="522" t="s">
        <v>805</v>
      </c>
      <c r="K132" s="520" t="s">
        <v>803</v>
      </c>
      <c r="L132" s="527" t="s">
        <v>806</v>
      </c>
      <c r="M132" s="529"/>
    </row>
    <row r="133" spans="1:13" s="62" customFormat="1" ht="13.5" customHeight="1">
      <c r="A133" s="963" t="s">
        <v>400</v>
      </c>
      <c r="B133" s="950" t="s">
        <v>401</v>
      </c>
      <c r="C133" s="332" t="s">
        <v>402</v>
      </c>
      <c r="D133" s="1006" t="s">
        <v>238</v>
      </c>
      <c r="E133" s="960">
        <v>2.5</v>
      </c>
      <c r="F133" s="952"/>
      <c r="G133" s="953">
        <f>E133*F133</f>
        <v>0</v>
      </c>
      <c r="H133" s="954">
        <v>15</v>
      </c>
      <c r="I133" s="965" t="s">
        <v>308</v>
      </c>
      <c r="J133" s="955" t="s">
        <v>243</v>
      </c>
      <c r="K133" s="956" t="str">
        <f>IF(F133&lt;15,"许可没有达到最低要求","SUCCESS")</f>
        <v>许可没有达到最低要求</v>
      </c>
      <c r="L133" s="994"/>
      <c r="M133" s="935"/>
    </row>
    <row r="134" spans="1:13" s="62" customFormat="1">
      <c r="A134" s="963"/>
      <c r="B134" s="950"/>
      <c r="C134" s="332" t="s">
        <v>403</v>
      </c>
      <c r="D134" s="1006"/>
      <c r="E134" s="960"/>
      <c r="F134" s="952"/>
      <c r="G134" s="953"/>
      <c r="H134" s="954"/>
      <c r="I134" s="965"/>
      <c r="J134" s="955"/>
      <c r="K134" s="956"/>
      <c r="L134" s="994"/>
      <c r="M134" s="935"/>
    </row>
    <row r="135" spans="1:13" s="62" customFormat="1">
      <c r="A135" s="963"/>
      <c r="B135" s="950"/>
      <c r="C135" s="332" t="s">
        <v>404</v>
      </c>
      <c r="D135" s="1006"/>
      <c r="E135" s="960"/>
      <c r="F135" s="952"/>
      <c r="G135" s="953"/>
      <c r="H135" s="954"/>
      <c r="I135" s="965"/>
      <c r="J135" s="955"/>
      <c r="K135" s="956"/>
      <c r="L135" s="994"/>
      <c r="M135" s="935"/>
    </row>
    <row r="136" spans="1:13" s="62" customFormat="1">
      <c r="A136" s="963"/>
      <c r="B136" s="950" t="s">
        <v>405</v>
      </c>
      <c r="C136" s="332" t="s">
        <v>406</v>
      </c>
      <c r="D136" s="1006" t="s">
        <v>238</v>
      </c>
      <c r="E136" s="960">
        <v>2.5</v>
      </c>
      <c r="F136" s="952"/>
      <c r="G136" s="953">
        <f>E136*F136</f>
        <v>0</v>
      </c>
      <c r="H136" s="954">
        <v>5</v>
      </c>
      <c r="I136" s="965" t="s">
        <v>308</v>
      </c>
      <c r="J136" s="955" t="s">
        <v>243</v>
      </c>
      <c r="K136" s="956" t="str">
        <f>IF(F133&lt;5,"许可没有达到最低要求","SUCCESS")</f>
        <v>许可没有达到最低要求</v>
      </c>
      <c r="L136" s="994" t="s">
        <v>407</v>
      </c>
      <c r="M136" s="935"/>
    </row>
    <row r="137" spans="1:13" s="62" customFormat="1">
      <c r="A137" s="963"/>
      <c r="B137" s="950"/>
      <c r="C137" s="332" t="s">
        <v>408</v>
      </c>
      <c r="D137" s="1006"/>
      <c r="E137" s="960"/>
      <c r="F137" s="952"/>
      <c r="G137" s="953"/>
      <c r="H137" s="954"/>
      <c r="I137" s="965"/>
      <c r="J137" s="955"/>
      <c r="K137" s="956"/>
      <c r="L137" s="994"/>
      <c r="M137" s="935"/>
    </row>
    <row r="138" spans="1:13" s="62" customFormat="1">
      <c r="A138" s="963"/>
      <c r="B138" s="950"/>
      <c r="C138" s="332" t="s">
        <v>409</v>
      </c>
      <c r="D138" s="1006"/>
      <c r="E138" s="960"/>
      <c r="F138" s="952"/>
      <c r="G138" s="953"/>
      <c r="H138" s="954"/>
      <c r="I138" s="965"/>
      <c r="J138" s="955"/>
      <c r="K138" s="956"/>
      <c r="L138" s="994"/>
      <c r="M138" s="943"/>
    </row>
    <row r="139" spans="1:13" s="62" customFormat="1" ht="13.5" customHeight="1">
      <c r="A139" s="963"/>
      <c r="B139" s="950"/>
      <c r="C139" s="332" t="s">
        <v>410</v>
      </c>
      <c r="D139" s="1006"/>
      <c r="E139" s="960"/>
      <c r="F139" s="952"/>
      <c r="G139" s="953"/>
      <c r="H139" s="954"/>
      <c r="I139" s="965"/>
      <c r="J139" s="955"/>
      <c r="K139" s="956"/>
      <c r="L139" s="994"/>
      <c r="M139" s="943"/>
    </row>
    <row r="140" spans="1:13" s="62" customFormat="1">
      <c r="A140" s="963"/>
      <c r="B140" s="950" t="s">
        <v>411</v>
      </c>
      <c r="C140" s="332" t="s">
        <v>412</v>
      </c>
      <c r="D140" s="1006" t="s">
        <v>238</v>
      </c>
      <c r="E140" s="960">
        <v>3.5</v>
      </c>
      <c r="F140" s="952"/>
      <c r="G140" s="953">
        <f>E140*F140</f>
        <v>0</v>
      </c>
      <c r="H140" s="954">
        <v>15</v>
      </c>
      <c r="I140" s="965" t="s">
        <v>246</v>
      </c>
      <c r="J140" s="955" t="s">
        <v>243</v>
      </c>
      <c r="K140" s="956" t="str">
        <f>IF(F140&lt;15,"许可没有达到最低要求","SUCCESS")</f>
        <v>许可没有达到最低要求</v>
      </c>
      <c r="L140" s="994" t="s">
        <v>413</v>
      </c>
      <c r="M140" s="932"/>
    </row>
    <row r="141" spans="1:13" s="62" customFormat="1">
      <c r="A141" s="963"/>
      <c r="B141" s="992"/>
      <c r="C141" s="332" t="s">
        <v>414</v>
      </c>
      <c r="D141" s="1006"/>
      <c r="E141" s="960"/>
      <c r="F141" s="952"/>
      <c r="G141" s="953"/>
      <c r="H141" s="954"/>
      <c r="I141" s="965"/>
      <c r="J141" s="955"/>
      <c r="K141" s="956"/>
      <c r="L141" s="994"/>
      <c r="M141" s="932"/>
    </row>
    <row r="142" spans="1:13" s="62" customFormat="1" ht="13.5" customHeight="1">
      <c r="A142" s="963"/>
      <c r="B142" s="992"/>
      <c r="C142" s="332" t="s">
        <v>415</v>
      </c>
      <c r="D142" s="1006"/>
      <c r="E142" s="960"/>
      <c r="F142" s="952"/>
      <c r="G142" s="953"/>
      <c r="H142" s="954"/>
      <c r="I142" s="965"/>
      <c r="J142" s="955"/>
      <c r="K142" s="956"/>
      <c r="L142" s="994"/>
      <c r="M142" s="932"/>
    </row>
    <row r="143" spans="1:13" s="62" customFormat="1">
      <c r="A143" s="963" t="s">
        <v>604</v>
      </c>
      <c r="B143" s="1009" t="s">
        <v>759</v>
      </c>
      <c r="C143" s="279" t="s">
        <v>618</v>
      </c>
      <c r="D143" s="1010" t="s">
        <v>760</v>
      </c>
      <c r="E143" s="953">
        <v>3</v>
      </c>
      <c r="F143" s="1011"/>
      <c r="G143" s="953">
        <f>E143*F143</f>
        <v>0</v>
      </c>
      <c r="H143" s="1011">
        <v>15</v>
      </c>
      <c r="I143" s="953" t="s">
        <v>308</v>
      </c>
      <c r="J143" s="1012" t="s">
        <v>619</v>
      </c>
      <c r="K143" s="956" t="str">
        <f>IF(F143&lt;15,"许可没有达到最低要求","SUCCESS")</f>
        <v>许可没有达到最低要求</v>
      </c>
      <c r="L143" s="1016"/>
      <c r="M143" s="944"/>
    </row>
    <row r="144" spans="1:13" s="62" customFormat="1">
      <c r="A144" s="963"/>
      <c r="B144" s="1009"/>
      <c r="C144" s="279" t="s">
        <v>607</v>
      </c>
      <c r="D144" s="1010" t="s">
        <v>607</v>
      </c>
      <c r="E144" s="953"/>
      <c r="F144" s="1011"/>
      <c r="G144" s="953"/>
      <c r="H144" s="1011"/>
      <c r="I144" s="953"/>
      <c r="J144" s="1012"/>
      <c r="K144" s="956"/>
      <c r="L144" s="1016"/>
      <c r="M144" s="944"/>
    </row>
    <row r="145" spans="1:13" s="62" customFormat="1">
      <c r="A145" s="963"/>
      <c r="B145" s="1009"/>
      <c r="C145" s="279" t="s">
        <v>608</v>
      </c>
      <c r="D145" s="1010" t="s">
        <v>608</v>
      </c>
      <c r="E145" s="953"/>
      <c r="F145" s="1011"/>
      <c r="G145" s="953"/>
      <c r="H145" s="1011"/>
      <c r="I145" s="953"/>
      <c r="J145" s="1012"/>
      <c r="K145" s="956"/>
      <c r="L145" s="1016"/>
      <c r="M145" s="944"/>
    </row>
    <row r="146" spans="1:13" s="62" customFormat="1">
      <c r="A146" s="963"/>
      <c r="B146" s="1009"/>
      <c r="C146" s="279" t="s">
        <v>609</v>
      </c>
      <c r="D146" s="1010" t="s">
        <v>609</v>
      </c>
      <c r="E146" s="953"/>
      <c r="F146" s="1011"/>
      <c r="G146" s="953"/>
      <c r="H146" s="1011"/>
      <c r="I146" s="953"/>
      <c r="J146" s="1012"/>
      <c r="K146" s="956"/>
      <c r="L146" s="1016"/>
      <c r="M146" s="944"/>
    </row>
    <row r="147" spans="1:13" s="62" customFormat="1">
      <c r="A147" s="963"/>
      <c r="B147" s="1009" t="s">
        <v>761</v>
      </c>
      <c r="C147" s="279" t="s">
        <v>610</v>
      </c>
      <c r="D147" s="1010" t="s">
        <v>762</v>
      </c>
      <c r="E147" s="953">
        <v>4</v>
      </c>
      <c r="F147" s="1011"/>
      <c r="G147" s="953">
        <f>F147*E147</f>
        <v>0</v>
      </c>
      <c r="H147" s="1011">
        <v>15</v>
      </c>
      <c r="I147" s="953" t="s">
        <v>308</v>
      </c>
      <c r="J147" s="1012" t="s">
        <v>29</v>
      </c>
      <c r="K147" s="956" t="str">
        <f>IF(F147&lt;15,"许可没有达到最低要求","SUCCESS")</f>
        <v>许可没有达到最低要求</v>
      </c>
      <c r="L147" s="1016" t="s">
        <v>620</v>
      </c>
      <c r="M147" s="944"/>
    </row>
    <row r="148" spans="1:13" s="62" customFormat="1">
      <c r="A148" s="963"/>
      <c r="B148" s="1009"/>
      <c r="C148" s="279" t="s">
        <v>611</v>
      </c>
      <c r="D148" s="1010"/>
      <c r="E148" s="953"/>
      <c r="F148" s="1011"/>
      <c r="G148" s="953"/>
      <c r="H148" s="1011"/>
      <c r="I148" s="953"/>
      <c r="J148" s="1012"/>
      <c r="K148" s="956"/>
      <c r="L148" s="1016"/>
      <c r="M148" s="944"/>
    </row>
    <row r="149" spans="1:13" s="62" customFormat="1">
      <c r="A149" s="963"/>
      <c r="B149" s="1009"/>
      <c r="C149" s="279" t="s">
        <v>763</v>
      </c>
      <c r="D149" s="1010"/>
      <c r="E149" s="953"/>
      <c r="F149" s="1011"/>
      <c r="G149" s="953"/>
      <c r="H149" s="1011"/>
      <c r="I149" s="953"/>
      <c r="J149" s="1012"/>
      <c r="K149" s="956"/>
      <c r="L149" s="1016"/>
      <c r="M149" s="944"/>
    </row>
    <row r="150" spans="1:13" s="62" customFormat="1">
      <c r="A150" s="963"/>
      <c r="B150" s="1009"/>
      <c r="C150" s="279" t="s">
        <v>764</v>
      </c>
      <c r="D150" s="1010"/>
      <c r="E150" s="953"/>
      <c r="F150" s="1011"/>
      <c r="G150" s="953"/>
      <c r="H150" s="1011"/>
      <c r="I150" s="953"/>
      <c r="J150" s="1012"/>
      <c r="K150" s="956"/>
      <c r="L150" s="1016"/>
      <c r="M150" s="944"/>
    </row>
    <row r="151" spans="1:13" s="62" customFormat="1">
      <c r="A151" s="963"/>
      <c r="B151" s="1009"/>
      <c r="C151" s="279" t="s">
        <v>765</v>
      </c>
      <c r="D151" s="1010"/>
      <c r="E151" s="953"/>
      <c r="F151" s="1011"/>
      <c r="G151" s="953"/>
      <c r="H151" s="1011"/>
      <c r="I151" s="953"/>
      <c r="J151" s="1012"/>
      <c r="K151" s="956"/>
      <c r="L151" s="1016"/>
      <c r="M151" s="944"/>
    </row>
    <row r="152" spans="1:13" s="62" customFormat="1">
      <c r="A152" s="963"/>
      <c r="B152" s="1009" t="s">
        <v>766</v>
      </c>
      <c r="C152" s="279" t="s">
        <v>612</v>
      </c>
      <c r="D152" s="1010" t="s">
        <v>762</v>
      </c>
      <c r="E152" s="953">
        <v>2.5</v>
      </c>
      <c r="F152" s="1011"/>
      <c r="G152" s="953">
        <f>E152*F152</f>
        <v>0</v>
      </c>
      <c r="H152" s="1011">
        <v>15</v>
      </c>
      <c r="I152" s="953" t="s">
        <v>308</v>
      </c>
      <c r="J152" s="1012" t="s">
        <v>769</v>
      </c>
      <c r="K152" s="956" t="str">
        <f>IF(F152&lt;15,"许可没有达到最低要求","SUCCESS")</f>
        <v>许可没有达到最低要求</v>
      </c>
      <c r="L152" s="1016" t="s">
        <v>827</v>
      </c>
      <c r="M152" s="944"/>
    </row>
    <row r="153" spans="1:13" s="62" customFormat="1">
      <c r="A153" s="963"/>
      <c r="B153" s="1009"/>
      <c r="C153" s="279" t="s">
        <v>613</v>
      </c>
      <c r="D153" s="1010"/>
      <c r="E153" s="953"/>
      <c r="F153" s="1011"/>
      <c r="G153" s="953"/>
      <c r="H153" s="1011"/>
      <c r="I153" s="953"/>
      <c r="J153" s="1012"/>
      <c r="K153" s="956"/>
      <c r="L153" s="1016"/>
      <c r="M153" s="944"/>
    </row>
    <row r="154" spans="1:13" s="62" customFormat="1">
      <c r="A154" s="963"/>
      <c r="B154" s="1009"/>
      <c r="C154" s="279" t="s">
        <v>614</v>
      </c>
      <c r="D154" s="1010"/>
      <c r="E154" s="953"/>
      <c r="F154" s="1011"/>
      <c r="G154" s="953"/>
      <c r="H154" s="1011"/>
      <c r="I154" s="953"/>
      <c r="J154" s="1012"/>
      <c r="K154" s="956"/>
      <c r="L154" s="1016"/>
      <c r="M154" s="944"/>
    </row>
    <row r="155" spans="1:13" s="62" customFormat="1">
      <c r="A155" s="963"/>
      <c r="B155" s="1009"/>
      <c r="C155" s="279" t="s">
        <v>616</v>
      </c>
      <c r="D155" s="1010"/>
      <c r="E155" s="953"/>
      <c r="F155" s="1011"/>
      <c r="G155" s="953"/>
      <c r="H155" s="1011"/>
      <c r="I155" s="953"/>
      <c r="J155" s="1012"/>
      <c r="K155" s="956"/>
      <c r="L155" s="1016"/>
      <c r="M155" s="944"/>
    </row>
    <row r="156" spans="1:13" s="62" customFormat="1" ht="13.5" customHeight="1">
      <c r="A156" s="963"/>
      <c r="B156" s="329" t="s">
        <v>767</v>
      </c>
      <c r="C156" s="279" t="s">
        <v>617</v>
      </c>
      <c r="D156" s="324" t="s">
        <v>768</v>
      </c>
      <c r="E156" s="313">
        <v>4</v>
      </c>
      <c r="F156" s="328"/>
      <c r="G156" s="313">
        <f>E156*F156</f>
        <v>0</v>
      </c>
      <c r="H156" s="328">
        <v>15</v>
      </c>
      <c r="I156" s="313" t="s">
        <v>308</v>
      </c>
      <c r="J156" s="331" t="s">
        <v>619</v>
      </c>
      <c r="K156" s="304" t="str">
        <f>IF(F156&lt;15,"许可没有达到最低要求","SUCCESS")</f>
        <v>许可没有达到最低要求</v>
      </c>
      <c r="L156" s="327" t="s">
        <v>620</v>
      </c>
      <c r="M156" s="471"/>
    </row>
    <row r="157" spans="1:13" s="62" customFormat="1">
      <c r="A157" s="966" t="s">
        <v>416</v>
      </c>
      <c r="B157" s="950" t="s">
        <v>417</v>
      </c>
      <c r="C157" s="332" t="s">
        <v>418</v>
      </c>
      <c r="D157" s="1006" t="s">
        <v>238</v>
      </c>
      <c r="E157" s="960">
        <v>2</v>
      </c>
      <c r="F157" s="952"/>
      <c r="G157" s="953">
        <f>E157*F157</f>
        <v>0</v>
      </c>
      <c r="H157" s="954">
        <v>10</v>
      </c>
      <c r="I157" s="965" t="s">
        <v>308</v>
      </c>
      <c r="J157" s="955" t="s">
        <v>243</v>
      </c>
      <c r="K157" s="956" t="str">
        <f>IF(F157&lt;10,"许可没有达到最低要求","SUCCESS")</f>
        <v>许可没有达到最低要求</v>
      </c>
      <c r="L157" s="994"/>
      <c r="M157" s="932"/>
    </row>
    <row r="158" spans="1:13" s="62" customFormat="1">
      <c r="A158" s="966"/>
      <c r="B158" s="992"/>
      <c r="C158" s="332" t="s">
        <v>419</v>
      </c>
      <c r="D158" s="1006"/>
      <c r="E158" s="960"/>
      <c r="F158" s="952"/>
      <c r="G158" s="953"/>
      <c r="H158" s="954"/>
      <c r="I158" s="965"/>
      <c r="J158" s="955"/>
      <c r="K158" s="956"/>
      <c r="L158" s="994"/>
      <c r="M158" s="932"/>
    </row>
    <row r="159" spans="1:13" s="62" customFormat="1">
      <c r="A159" s="966"/>
      <c r="B159" s="992"/>
      <c r="C159" s="332" t="s">
        <v>420</v>
      </c>
      <c r="D159" s="1006"/>
      <c r="E159" s="960"/>
      <c r="F159" s="952"/>
      <c r="G159" s="953"/>
      <c r="H159" s="954"/>
      <c r="I159" s="965"/>
      <c r="J159" s="955"/>
      <c r="K159" s="956"/>
      <c r="L159" s="994"/>
      <c r="M159" s="932"/>
    </row>
    <row r="160" spans="1:13" s="62" customFormat="1">
      <c r="A160" s="966"/>
      <c r="B160" s="992"/>
      <c r="C160" s="332" t="s">
        <v>421</v>
      </c>
      <c r="D160" s="1006"/>
      <c r="E160" s="960"/>
      <c r="F160" s="952"/>
      <c r="G160" s="953"/>
      <c r="H160" s="954"/>
      <c r="I160" s="965"/>
      <c r="J160" s="955"/>
      <c r="K160" s="956"/>
      <c r="L160" s="994"/>
      <c r="M160" s="932"/>
    </row>
    <row r="161" spans="1:13" s="62" customFormat="1" ht="13.5" customHeight="1">
      <c r="A161" s="966"/>
      <c r="B161" s="992"/>
      <c r="C161" s="332" t="s">
        <v>422</v>
      </c>
      <c r="D161" s="1006"/>
      <c r="E161" s="960"/>
      <c r="F161" s="952"/>
      <c r="G161" s="953"/>
      <c r="H161" s="954"/>
      <c r="I161" s="965"/>
      <c r="J161" s="955"/>
      <c r="K161" s="956"/>
      <c r="L161" s="994"/>
      <c r="M161" s="932"/>
    </row>
    <row r="162" spans="1:13" s="62" customFormat="1">
      <c r="A162" s="966"/>
      <c r="B162" s="950" t="s">
        <v>679</v>
      </c>
      <c r="C162" s="332" t="s">
        <v>680</v>
      </c>
      <c r="D162" s="1006" t="s">
        <v>681</v>
      </c>
      <c r="E162" s="1013">
        <v>2</v>
      </c>
      <c r="F162" s="993"/>
      <c r="G162" s="953">
        <f>E162*F162</f>
        <v>0</v>
      </c>
      <c r="H162" s="954">
        <v>10</v>
      </c>
      <c r="I162" s="965" t="s">
        <v>308</v>
      </c>
      <c r="J162" s="955" t="s">
        <v>243</v>
      </c>
      <c r="K162" s="956" t="str">
        <f>IF(F162&lt;10,"许可没有达到最低要求","SUCCESS")</f>
        <v>许可没有达到最低要求</v>
      </c>
      <c r="L162" s="1015" t="s">
        <v>423</v>
      </c>
      <c r="M162" s="932"/>
    </row>
    <row r="163" spans="1:13" s="62" customFormat="1" ht="23.25" customHeight="1">
      <c r="A163" s="966"/>
      <c r="B163" s="992"/>
      <c r="C163" s="332" t="s">
        <v>682</v>
      </c>
      <c r="D163" s="1006"/>
      <c r="E163" s="1013"/>
      <c r="F163" s="993"/>
      <c r="G163" s="953"/>
      <c r="H163" s="954"/>
      <c r="I163" s="965"/>
      <c r="J163" s="955"/>
      <c r="K163" s="956"/>
      <c r="L163" s="1015"/>
      <c r="M163" s="932"/>
    </row>
    <row r="164" spans="1:13" s="62" customFormat="1" ht="23.25" customHeight="1">
      <c r="A164" s="966"/>
      <c r="B164" s="302" t="s">
        <v>683</v>
      </c>
      <c r="C164" s="332" t="s">
        <v>683</v>
      </c>
      <c r="D164" s="324" t="s">
        <v>681</v>
      </c>
      <c r="E164" s="221">
        <v>1</v>
      </c>
      <c r="F164" s="317"/>
      <c r="G164" s="313">
        <f t="shared" ref="G164:G168" si="2">E164*F164</f>
        <v>0</v>
      </c>
      <c r="H164" s="318">
        <v>10</v>
      </c>
      <c r="I164" s="506" t="s">
        <v>308</v>
      </c>
      <c r="J164" s="71" t="s">
        <v>243</v>
      </c>
      <c r="K164" s="304" t="str">
        <f t="shared" ref="K164:K168" si="3">IF(F164&lt;10,"许可没有达到最低要求","SUCCESS")</f>
        <v>许可没有达到最低要求</v>
      </c>
      <c r="L164" s="333" t="s">
        <v>423</v>
      </c>
      <c r="M164" s="405"/>
    </row>
    <row r="165" spans="1:13" s="62" customFormat="1" ht="23.25" customHeight="1">
      <c r="A165" s="966"/>
      <c r="B165" s="302" t="s">
        <v>684</v>
      </c>
      <c r="C165" s="332" t="s">
        <v>684</v>
      </c>
      <c r="D165" s="324" t="s">
        <v>681</v>
      </c>
      <c r="E165" s="221">
        <v>2</v>
      </c>
      <c r="F165" s="317"/>
      <c r="G165" s="313">
        <f t="shared" si="2"/>
        <v>0</v>
      </c>
      <c r="H165" s="318">
        <v>10</v>
      </c>
      <c r="I165" s="506" t="s">
        <v>246</v>
      </c>
      <c r="J165" s="71" t="s">
        <v>243</v>
      </c>
      <c r="K165" s="304" t="str">
        <f t="shared" si="3"/>
        <v>许可没有达到最低要求</v>
      </c>
      <c r="L165" s="333" t="s">
        <v>424</v>
      </c>
      <c r="M165" s="406"/>
    </row>
    <row r="166" spans="1:13" s="62" customFormat="1" ht="23.25" customHeight="1">
      <c r="A166" s="966"/>
      <c r="B166" s="302" t="s">
        <v>685</v>
      </c>
      <c r="C166" s="332" t="s">
        <v>685</v>
      </c>
      <c r="D166" s="324" t="s">
        <v>681</v>
      </c>
      <c r="E166" s="221">
        <v>2</v>
      </c>
      <c r="F166" s="317"/>
      <c r="G166" s="313">
        <f t="shared" si="2"/>
        <v>0</v>
      </c>
      <c r="H166" s="318">
        <v>10</v>
      </c>
      <c r="I166" s="506" t="s">
        <v>246</v>
      </c>
      <c r="J166" s="71" t="s">
        <v>243</v>
      </c>
      <c r="K166" s="304" t="str">
        <f t="shared" si="3"/>
        <v>许可没有达到最低要求</v>
      </c>
      <c r="L166" s="333" t="s">
        <v>567</v>
      </c>
      <c r="M166" s="406"/>
    </row>
    <row r="167" spans="1:13" s="62" customFormat="1" ht="13.5" customHeight="1">
      <c r="A167" s="966"/>
      <c r="B167" s="302" t="s">
        <v>686</v>
      </c>
      <c r="C167" s="332" t="s">
        <v>686</v>
      </c>
      <c r="D167" s="324" t="s">
        <v>681</v>
      </c>
      <c r="E167" s="221">
        <v>2</v>
      </c>
      <c r="F167" s="317"/>
      <c r="G167" s="313">
        <f t="shared" si="2"/>
        <v>0</v>
      </c>
      <c r="H167" s="318">
        <v>10</v>
      </c>
      <c r="I167" s="506" t="s">
        <v>246</v>
      </c>
      <c r="J167" s="71" t="s">
        <v>243</v>
      </c>
      <c r="K167" s="304" t="str">
        <f t="shared" si="3"/>
        <v>许可没有达到最低要求</v>
      </c>
      <c r="L167" s="333" t="s">
        <v>425</v>
      </c>
      <c r="M167" s="406"/>
    </row>
    <row r="168" spans="1:13" s="62" customFormat="1">
      <c r="A168" s="966"/>
      <c r="B168" s="950" t="s">
        <v>426</v>
      </c>
      <c r="C168" s="332" t="s">
        <v>427</v>
      </c>
      <c r="D168" s="1006" t="s">
        <v>238</v>
      </c>
      <c r="E168" s="960">
        <v>2</v>
      </c>
      <c r="F168" s="993"/>
      <c r="G168" s="953">
        <f t="shared" si="2"/>
        <v>0</v>
      </c>
      <c r="H168" s="954">
        <v>10</v>
      </c>
      <c r="I168" s="965" t="s">
        <v>246</v>
      </c>
      <c r="J168" s="955" t="s">
        <v>243</v>
      </c>
      <c r="K168" s="956" t="str">
        <f t="shared" si="3"/>
        <v>许可没有达到最低要求</v>
      </c>
      <c r="L168" s="1015" t="s">
        <v>428</v>
      </c>
      <c r="M168" s="933"/>
    </row>
    <row r="169" spans="1:13" s="62" customFormat="1">
      <c r="A169" s="966"/>
      <c r="B169" s="950"/>
      <c r="C169" s="332" t="s">
        <v>429</v>
      </c>
      <c r="D169" s="1006"/>
      <c r="E169" s="960"/>
      <c r="F169" s="993"/>
      <c r="G169" s="953"/>
      <c r="H169" s="954"/>
      <c r="I169" s="965"/>
      <c r="J169" s="955"/>
      <c r="K169" s="956"/>
      <c r="L169" s="1015"/>
      <c r="M169" s="933"/>
    </row>
    <row r="170" spans="1:13" s="62" customFormat="1">
      <c r="A170" s="966"/>
      <c r="B170" s="1014"/>
      <c r="C170" s="339" t="s">
        <v>430</v>
      </c>
      <c r="D170" s="1006"/>
      <c r="E170" s="960"/>
      <c r="F170" s="993"/>
      <c r="G170" s="953"/>
      <c r="H170" s="954"/>
      <c r="I170" s="965"/>
      <c r="J170" s="955"/>
      <c r="K170" s="956"/>
      <c r="L170" s="1015"/>
      <c r="M170" s="933"/>
    </row>
    <row r="171" spans="1:13" s="62" customFormat="1">
      <c r="A171" s="966" t="s">
        <v>431</v>
      </c>
      <c r="B171" s="950" t="s">
        <v>431</v>
      </c>
      <c r="C171" s="332" t="s">
        <v>432</v>
      </c>
      <c r="D171" s="324" t="s">
        <v>433</v>
      </c>
      <c r="E171" s="307">
        <v>0.02</v>
      </c>
      <c r="F171" s="993"/>
      <c r="G171" s="953">
        <f>IF(F171&lt;=5000,F171*0.02,IF(F171&lt;20000,5000*0.02+(F171-5000)*0.015,5000*0.02+15000*0.015+(F171-20000)*0.01))</f>
        <v>0</v>
      </c>
      <c r="H171" s="954">
        <v>100</v>
      </c>
      <c r="I171" s="965" t="s">
        <v>434</v>
      </c>
      <c r="J171" s="955" t="s">
        <v>243</v>
      </c>
      <c r="K171" s="956" t="str">
        <f>IF(F171&lt;100,"许可没有达到最低要求","SUCCESS")</f>
        <v>许可没有达到最低要求</v>
      </c>
      <c r="L171" s="1015" t="s">
        <v>435</v>
      </c>
      <c r="M171" s="933"/>
    </row>
    <row r="172" spans="1:13" s="62" customFormat="1" ht="14.25" customHeight="1">
      <c r="A172" s="966"/>
      <c r="B172" s="950"/>
      <c r="C172" s="951" t="s">
        <v>436</v>
      </c>
      <c r="D172" s="324" t="s">
        <v>437</v>
      </c>
      <c r="E172" s="76">
        <v>1.4999999999999999E-2</v>
      </c>
      <c r="F172" s="993"/>
      <c r="G172" s="953"/>
      <c r="H172" s="954"/>
      <c r="I172" s="965"/>
      <c r="J172" s="955"/>
      <c r="K172" s="956"/>
      <c r="L172" s="1015"/>
      <c r="M172" s="933"/>
    </row>
    <row r="173" spans="1:13" s="62" customFormat="1">
      <c r="A173" s="966"/>
      <c r="B173" s="950"/>
      <c r="C173" s="951"/>
      <c r="D173" s="324" t="s">
        <v>438</v>
      </c>
      <c r="E173" s="307">
        <v>0.01</v>
      </c>
      <c r="F173" s="993"/>
      <c r="G173" s="953"/>
      <c r="H173" s="954"/>
      <c r="I173" s="965"/>
      <c r="J173" s="955"/>
      <c r="K173" s="956"/>
      <c r="L173" s="1015"/>
      <c r="M173" s="933"/>
    </row>
    <row r="174" spans="1:13" s="62" customFormat="1" ht="13.5" customHeight="1">
      <c r="A174" s="966" t="s">
        <v>443</v>
      </c>
      <c r="B174" s="950" t="s">
        <v>444</v>
      </c>
      <c r="C174" s="332" t="s">
        <v>552</v>
      </c>
      <c r="D174" s="1006" t="s">
        <v>445</v>
      </c>
      <c r="E174" s="960">
        <v>0.05</v>
      </c>
      <c r="F174" s="952"/>
      <c r="G174" s="953">
        <f>IF(F174&lt;=1500,F174*0.05,IF(F174&lt;=5000,1500*0.05+(F174-1500)*0.04,IF(F174&lt;=20000,1500*0.05+3500*0.04+(F174-5000)*0.03,1500*0.05+3500*0.04+15000*0.03+(F174-20000)*0.02)))</f>
        <v>0</v>
      </c>
      <c r="H174" s="954">
        <v>200</v>
      </c>
      <c r="I174" s="961" t="s">
        <v>446</v>
      </c>
      <c r="J174" s="955" t="s">
        <v>243</v>
      </c>
      <c r="K174" s="956" t="str">
        <f>IF(F174&lt;200,"许可没有达到最低要求","SUCCESS")</f>
        <v>许可没有达到最低要求</v>
      </c>
      <c r="L174" s="1015" t="s">
        <v>667</v>
      </c>
      <c r="M174" s="932"/>
    </row>
    <row r="175" spans="1:13" s="62" customFormat="1">
      <c r="A175" s="966"/>
      <c r="B175" s="950"/>
      <c r="C175" s="332" t="s">
        <v>550</v>
      </c>
      <c r="D175" s="1006"/>
      <c r="E175" s="960"/>
      <c r="F175" s="952"/>
      <c r="G175" s="953"/>
      <c r="H175" s="954"/>
      <c r="I175" s="961"/>
      <c r="J175" s="955"/>
      <c r="K175" s="956"/>
      <c r="L175" s="1015"/>
      <c r="M175" s="932"/>
    </row>
    <row r="176" spans="1:13" s="62" customFormat="1">
      <c r="A176" s="966"/>
      <c r="B176" s="992"/>
      <c r="C176" s="310" t="s">
        <v>447</v>
      </c>
      <c r="D176" s="306" t="s">
        <v>448</v>
      </c>
      <c r="E176" s="307">
        <v>0.04</v>
      </c>
      <c r="F176" s="952"/>
      <c r="G176" s="953"/>
      <c r="H176" s="954"/>
      <c r="I176" s="961"/>
      <c r="J176" s="955"/>
      <c r="K176" s="992"/>
      <c r="L176" s="1015"/>
      <c r="M176" s="932"/>
    </row>
    <row r="177" spans="1:13" s="62" customFormat="1" ht="14.25" customHeight="1">
      <c r="A177" s="966"/>
      <c r="B177" s="992"/>
      <c r="C177" s="332" t="s">
        <v>449</v>
      </c>
      <c r="D177" s="324" t="s">
        <v>437</v>
      </c>
      <c r="E177" s="307">
        <v>0.03</v>
      </c>
      <c r="F177" s="952"/>
      <c r="G177" s="953"/>
      <c r="H177" s="954"/>
      <c r="I177" s="961"/>
      <c r="J177" s="955"/>
      <c r="K177" s="992"/>
      <c r="L177" s="1015"/>
      <c r="M177" s="932"/>
    </row>
    <row r="178" spans="1:13" s="62" customFormat="1" ht="13.5" customHeight="1">
      <c r="A178" s="966"/>
      <c r="B178" s="992"/>
      <c r="C178" s="332" t="s">
        <v>450</v>
      </c>
      <c r="D178" s="324" t="s">
        <v>438</v>
      </c>
      <c r="E178" s="307">
        <v>0.02</v>
      </c>
      <c r="F178" s="952"/>
      <c r="G178" s="953"/>
      <c r="H178" s="954"/>
      <c r="I178" s="961"/>
      <c r="J178" s="955"/>
      <c r="K178" s="992"/>
      <c r="L178" s="1015"/>
      <c r="M178" s="932"/>
    </row>
    <row r="179" spans="1:13" s="62" customFormat="1" ht="13.5" customHeight="1">
      <c r="A179" s="966"/>
      <c r="B179" s="950" t="s">
        <v>451</v>
      </c>
      <c r="C179" s="332" t="s">
        <v>452</v>
      </c>
      <c r="D179" s="324" t="s">
        <v>445</v>
      </c>
      <c r="E179" s="307">
        <v>0.05</v>
      </c>
      <c r="F179" s="993"/>
      <c r="G179" s="1008">
        <f>IF(F179&lt;=1500,F179*0.05,IF(F179&lt;=5000,1500*0.05+(F179-1500)*0.04,IF(F179&lt;=20000,1500*0.05+3500*0.04+(F179-5000)*0.03,1500*0.05+3500*0.04+15000*0.03+(F179-20000)*0.02)))</f>
        <v>0</v>
      </c>
      <c r="H179" s="1017">
        <v>200</v>
      </c>
      <c r="I179" s="1018" t="s">
        <v>446</v>
      </c>
      <c r="J179" s="955" t="s">
        <v>256</v>
      </c>
      <c r="K179" s="1019" t="str">
        <f>IF(F179&lt;400,"许可没有达到最低要求","SUCCESS")</f>
        <v>许可没有达到最低要求</v>
      </c>
      <c r="L179" s="1015" t="s">
        <v>668</v>
      </c>
      <c r="M179" s="934"/>
    </row>
    <row r="180" spans="1:13" s="62" customFormat="1">
      <c r="A180" s="966"/>
      <c r="B180" s="950"/>
      <c r="C180" s="310" t="s">
        <v>453</v>
      </c>
      <c r="D180" s="306" t="s">
        <v>448</v>
      </c>
      <c r="E180" s="307">
        <v>0.04</v>
      </c>
      <c r="F180" s="993"/>
      <c r="G180" s="1008"/>
      <c r="H180" s="1017"/>
      <c r="I180" s="1018"/>
      <c r="J180" s="955"/>
      <c r="K180" s="1019"/>
      <c r="L180" s="1015"/>
      <c r="M180" s="934"/>
    </row>
    <row r="181" spans="1:13" s="62" customFormat="1">
      <c r="A181" s="966"/>
      <c r="B181" s="950"/>
      <c r="C181" s="342" t="s">
        <v>454</v>
      </c>
      <c r="D181" s="324" t="s">
        <v>437</v>
      </c>
      <c r="E181" s="307">
        <v>0.03</v>
      </c>
      <c r="F181" s="993"/>
      <c r="G181" s="1008"/>
      <c r="H181" s="1017"/>
      <c r="I181" s="1018"/>
      <c r="J181" s="955"/>
      <c r="K181" s="1019"/>
      <c r="L181" s="1015"/>
      <c r="M181" s="934"/>
    </row>
    <row r="182" spans="1:13" s="62" customFormat="1">
      <c r="A182" s="966"/>
      <c r="B182" s="950"/>
      <c r="C182" s="342" t="s">
        <v>455</v>
      </c>
      <c r="D182" s="324" t="s">
        <v>456</v>
      </c>
      <c r="E182" s="307">
        <v>0.02</v>
      </c>
      <c r="F182" s="993"/>
      <c r="G182" s="1008"/>
      <c r="H182" s="1017"/>
      <c r="I182" s="1018"/>
      <c r="J182" s="955"/>
      <c r="K182" s="1019"/>
      <c r="L182" s="1015"/>
      <c r="M182" s="934"/>
    </row>
    <row r="183" spans="1:13" s="62" customFormat="1" ht="13.5" customHeight="1">
      <c r="A183" s="966"/>
      <c r="B183" s="950" t="s">
        <v>457</v>
      </c>
      <c r="C183" s="1015" t="s">
        <v>458</v>
      </c>
      <c r="D183" s="77" t="s">
        <v>459</v>
      </c>
      <c r="E183" s="307">
        <v>0.03</v>
      </c>
      <c r="F183" s="952"/>
      <c r="G183" s="1008">
        <f>IF(F183&lt;=1500,F183*0.03,IF(F183&lt;=5000,1500*0.03+(F183-1500)*0.025,IF(F183&lt;=20000,1500*0.03+3500*0.025+(F183-5000)*0.02,1500*0.03+3500*0.025+15000*0.02+(F183-20000)*0.015)))</f>
        <v>0</v>
      </c>
      <c r="H183" s="1017">
        <v>50</v>
      </c>
      <c r="I183" s="1018" t="s">
        <v>446</v>
      </c>
      <c r="J183" s="955" t="s">
        <v>256</v>
      </c>
      <c r="K183" s="1019" t="str">
        <f>IF(F183&lt;50,"许可没有达到最低要求","SUCCESS")</f>
        <v>许可没有达到最低要求</v>
      </c>
      <c r="L183" s="1015" t="s">
        <v>668</v>
      </c>
      <c r="M183" s="935"/>
    </row>
    <row r="184" spans="1:13" s="62" customFormat="1">
      <c r="A184" s="966"/>
      <c r="B184" s="950"/>
      <c r="C184" s="1015"/>
      <c r="D184" s="77" t="s">
        <v>448</v>
      </c>
      <c r="E184" s="76">
        <v>2.5000000000000001E-2</v>
      </c>
      <c r="F184" s="952"/>
      <c r="G184" s="1008"/>
      <c r="H184" s="1017"/>
      <c r="I184" s="1018"/>
      <c r="J184" s="955"/>
      <c r="K184" s="1019"/>
      <c r="L184" s="1015"/>
      <c r="M184" s="935"/>
    </row>
    <row r="185" spans="1:13" s="62" customFormat="1" ht="15.75" customHeight="1">
      <c r="A185" s="966"/>
      <c r="B185" s="950"/>
      <c r="C185" s="1015"/>
      <c r="D185" s="77" t="s">
        <v>437</v>
      </c>
      <c r="E185" s="307">
        <v>0.02</v>
      </c>
      <c r="F185" s="952"/>
      <c r="G185" s="1008"/>
      <c r="H185" s="1017"/>
      <c r="I185" s="1018"/>
      <c r="J185" s="955"/>
      <c r="K185" s="1019"/>
      <c r="L185" s="1015"/>
      <c r="M185" s="935"/>
    </row>
    <row r="186" spans="1:13" s="62" customFormat="1">
      <c r="A186" s="966"/>
      <c r="B186" s="950"/>
      <c r="C186" s="1015"/>
      <c r="D186" s="77" t="s">
        <v>438</v>
      </c>
      <c r="E186" s="76">
        <v>1.4999999999999999E-2</v>
      </c>
      <c r="F186" s="952"/>
      <c r="G186" s="1008"/>
      <c r="H186" s="1017"/>
      <c r="I186" s="1018"/>
      <c r="J186" s="955"/>
      <c r="K186" s="1019"/>
      <c r="L186" s="1015"/>
      <c r="M186" s="935"/>
    </row>
    <row r="187" spans="1:13" s="62" customFormat="1" ht="13.5" customHeight="1">
      <c r="A187" s="966"/>
      <c r="B187" s="1027" t="s">
        <v>460</v>
      </c>
      <c r="C187" s="994" t="s">
        <v>460</v>
      </c>
      <c r="D187" s="78" t="s">
        <v>459</v>
      </c>
      <c r="E187" s="307">
        <v>0.03</v>
      </c>
      <c r="F187" s="1030"/>
      <c r="G187" s="1039">
        <f>IF(F187&lt;=1500,F187*0.03,
IF(F187&lt;=5000,1500*0.03+(F187-1500)*0.025,
IF(F187&lt;=20000,1500*0.03+3500*0.025+(F187-5000)*0.02,
1500*0.03+3500*0.025+15000*0.02+(F187-20000)*0.015)))</f>
        <v>0</v>
      </c>
      <c r="H187" s="1017">
        <v>50</v>
      </c>
      <c r="I187" s="1040" t="s">
        <v>446</v>
      </c>
      <c r="J187" s="1041" t="s">
        <v>256</v>
      </c>
      <c r="K187" s="1026" t="str">
        <f>IF(G187&lt;50,"许可没有达到最低要求","SUCCESS")</f>
        <v>许可没有达到最低要求</v>
      </c>
      <c r="L187" s="1015" t="s">
        <v>668</v>
      </c>
      <c r="M187" s="936"/>
    </row>
    <row r="188" spans="1:13" s="62" customFormat="1">
      <c r="A188" s="966"/>
      <c r="B188" s="1027"/>
      <c r="C188" s="994"/>
      <c r="D188" s="78" t="s">
        <v>448</v>
      </c>
      <c r="E188" s="76">
        <v>2.5000000000000001E-2</v>
      </c>
      <c r="F188" s="1030"/>
      <c r="G188" s="1039"/>
      <c r="H188" s="1017"/>
      <c r="I188" s="1040"/>
      <c r="J188" s="1041"/>
      <c r="K188" s="1026"/>
      <c r="L188" s="1015"/>
      <c r="M188" s="936"/>
    </row>
    <row r="189" spans="1:13" s="62" customFormat="1" ht="12" customHeight="1">
      <c r="A189" s="966"/>
      <c r="B189" s="1027"/>
      <c r="C189" s="994"/>
      <c r="D189" s="78" t="s">
        <v>437</v>
      </c>
      <c r="E189" s="307">
        <v>0.02</v>
      </c>
      <c r="F189" s="1030"/>
      <c r="G189" s="1039"/>
      <c r="H189" s="1017"/>
      <c r="I189" s="1040"/>
      <c r="J189" s="1041"/>
      <c r="K189" s="1026"/>
      <c r="L189" s="1015"/>
      <c r="M189" s="936"/>
    </row>
    <row r="190" spans="1:13" s="62" customFormat="1" ht="12" customHeight="1">
      <c r="A190" s="966"/>
      <c r="B190" s="1027"/>
      <c r="C190" s="994"/>
      <c r="D190" s="78" t="s">
        <v>438</v>
      </c>
      <c r="E190" s="76">
        <v>1.4999999999999999E-2</v>
      </c>
      <c r="F190" s="1030"/>
      <c r="G190" s="1039"/>
      <c r="H190" s="1017"/>
      <c r="I190" s="1040"/>
      <c r="J190" s="1041"/>
      <c r="K190" s="1026"/>
      <c r="L190" s="1015"/>
      <c r="M190" s="936"/>
    </row>
    <row r="191" spans="1:13" s="62" customFormat="1" ht="12" customHeight="1">
      <c r="A191" s="966"/>
      <c r="B191" s="79" t="s">
        <v>558</v>
      </c>
      <c r="C191" s="342" t="s">
        <v>559</v>
      </c>
      <c r="D191" s="167" t="s">
        <v>565</v>
      </c>
      <c r="E191" s="76">
        <v>30</v>
      </c>
      <c r="F191" s="294"/>
      <c r="G191" s="325">
        <f>IF(F191&gt;=1,E191,0)</f>
        <v>0</v>
      </c>
      <c r="H191" s="68" t="s">
        <v>560</v>
      </c>
      <c r="I191" s="81" t="s">
        <v>139</v>
      </c>
      <c r="J191" s="336" t="s">
        <v>554</v>
      </c>
      <c r="K191" s="81" t="s">
        <v>553</v>
      </c>
      <c r="L191" s="545" t="s">
        <v>825</v>
      </c>
      <c r="M191" s="466"/>
    </row>
    <row r="192" spans="1:13" s="62" customFormat="1" ht="12" customHeight="1">
      <c r="A192" s="966"/>
      <c r="B192" s="79" t="s">
        <v>561</v>
      </c>
      <c r="C192" s="316" t="s">
        <v>562</v>
      </c>
      <c r="D192" s="167" t="s">
        <v>565</v>
      </c>
      <c r="E192" s="76">
        <v>20</v>
      </c>
      <c r="F192" s="294"/>
      <c r="G192" s="325">
        <f>IF(F192&gt;=1,E192,0)</f>
        <v>0</v>
      </c>
      <c r="H192" s="68" t="s">
        <v>560</v>
      </c>
      <c r="I192" s="81" t="s">
        <v>139</v>
      </c>
      <c r="J192" s="336" t="s">
        <v>554</v>
      </c>
      <c r="K192" s="81" t="s">
        <v>553</v>
      </c>
      <c r="L192" s="333" t="s">
        <v>667</v>
      </c>
      <c r="M192" s="466"/>
    </row>
    <row r="193" spans="1:13" s="62" customFormat="1">
      <c r="A193" s="966"/>
      <c r="B193" s="79" t="s">
        <v>563</v>
      </c>
      <c r="C193" s="316" t="s">
        <v>564</v>
      </c>
      <c r="D193" s="167" t="s">
        <v>565</v>
      </c>
      <c r="E193" s="76">
        <v>5</v>
      </c>
      <c r="F193" s="294"/>
      <c r="G193" s="325">
        <f>IF(F193&gt;=1,E193,0)</f>
        <v>0</v>
      </c>
      <c r="H193" s="68" t="s">
        <v>560</v>
      </c>
      <c r="I193" s="81" t="s">
        <v>139</v>
      </c>
      <c r="J193" s="336" t="s">
        <v>554</v>
      </c>
      <c r="K193" s="81" t="s">
        <v>553</v>
      </c>
      <c r="L193" s="333" t="s">
        <v>669</v>
      </c>
      <c r="M193" s="466"/>
    </row>
    <row r="194" spans="1:13" s="62" customFormat="1" ht="36">
      <c r="A194" s="966"/>
      <c r="B194" s="79" t="s">
        <v>461</v>
      </c>
      <c r="C194" s="316" t="s">
        <v>462</v>
      </c>
      <c r="D194" s="78" t="s">
        <v>238</v>
      </c>
      <c r="E194" s="80">
        <v>5</v>
      </c>
      <c r="F194" s="294"/>
      <c r="G194" s="325">
        <f>IF(F194&gt;=1,E194,0)</f>
        <v>0</v>
      </c>
      <c r="H194" s="68" t="s">
        <v>237</v>
      </c>
      <c r="I194" s="81" t="s">
        <v>139</v>
      </c>
      <c r="J194" s="336" t="s">
        <v>256</v>
      </c>
      <c r="K194" s="81" t="s">
        <v>463</v>
      </c>
      <c r="L194" s="333" t="s">
        <v>667</v>
      </c>
      <c r="M194" s="466"/>
    </row>
    <row r="195" spans="1:13" s="62" customFormat="1">
      <c r="A195" s="966"/>
      <c r="B195" s="1027" t="s">
        <v>464</v>
      </c>
      <c r="C195" s="994" t="s">
        <v>465</v>
      </c>
      <c r="D195" s="78" t="s">
        <v>466</v>
      </c>
      <c r="E195" s="307">
        <v>0.05</v>
      </c>
      <c r="F195" s="1030"/>
      <c r="G195" s="1032">
        <f>IF(F195&lt;=500,F195*0.05,
IF(F195&lt;=2000,500*0.05+(F195-500)*0.04,
(500*0.05+1500*0.04+(F195-2000)*0.03)))</f>
        <v>0</v>
      </c>
      <c r="H195" s="1017">
        <v>100</v>
      </c>
      <c r="I195" s="1035" t="s">
        <v>467</v>
      </c>
      <c r="J195" s="1037" t="s">
        <v>256</v>
      </c>
      <c r="K195" s="1042" t="str">
        <f>IF(F195&lt;100,"许可没有达到最低要求","SUCCESS")</f>
        <v>许可没有达到最低要求</v>
      </c>
      <c r="L195" s="1015" t="s">
        <v>667</v>
      </c>
      <c r="M195" s="936"/>
    </row>
    <row r="196" spans="1:13" s="62" customFormat="1">
      <c r="A196" s="966"/>
      <c r="B196" s="1027"/>
      <c r="C196" s="994"/>
      <c r="D196" s="78" t="s">
        <v>340</v>
      </c>
      <c r="E196" s="307">
        <v>0.04</v>
      </c>
      <c r="F196" s="1030"/>
      <c r="G196" s="1032"/>
      <c r="H196" s="1017"/>
      <c r="I196" s="1035"/>
      <c r="J196" s="1037"/>
      <c r="K196" s="1042"/>
      <c r="L196" s="1015"/>
      <c r="M196" s="936"/>
    </row>
    <row r="197" spans="1:13" ht="13.5" customHeight="1" thickBot="1">
      <c r="A197" s="967"/>
      <c r="B197" s="1028"/>
      <c r="C197" s="1029"/>
      <c r="D197" s="502" t="s">
        <v>364</v>
      </c>
      <c r="E197" s="503">
        <v>0.03</v>
      </c>
      <c r="F197" s="1031"/>
      <c r="G197" s="1033"/>
      <c r="H197" s="1034"/>
      <c r="I197" s="1036"/>
      <c r="J197" s="1038"/>
      <c r="K197" s="1043"/>
      <c r="L197" s="1044"/>
      <c r="M197" s="937"/>
    </row>
    <row r="198" spans="1:13" ht="13.5" customHeight="1" thickBot="1">
      <c r="A198" s="458" t="s">
        <v>468</v>
      </c>
      <c r="B198" s="458" t="s">
        <v>469</v>
      </c>
      <c r="C198" s="514"/>
      <c r="D198" s="202"/>
      <c r="E198" s="203"/>
      <c r="F198" s="204"/>
      <c r="G198" s="205">
        <f>SUM(G4:G197)</f>
        <v>50</v>
      </c>
      <c r="H198" s="206"/>
      <c r="I198" s="207"/>
      <c r="J198" s="201"/>
      <c r="K198" s="208"/>
      <c r="L198" s="201"/>
      <c r="M198" s="209"/>
    </row>
    <row r="199" spans="1:13" ht="24">
      <c r="A199" s="459" t="s">
        <v>470</v>
      </c>
      <c r="B199" s="477" t="s">
        <v>470</v>
      </c>
      <c r="C199" s="512" t="s">
        <v>471</v>
      </c>
      <c r="D199" s="194"/>
      <c r="E199" s="195" t="s">
        <v>472</v>
      </c>
      <c r="F199" s="311"/>
      <c r="G199" s="196">
        <f>IF(F199&gt;=1,G198*15%,0)</f>
        <v>0</v>
      </c>
      <c r="H199" s="197"/>
      <c r="I199" s="513" t="s">
        <v>127</v>
      </c>
      <c r="J199" s="344" t="s">
        <v>256</v>
      </c>
      <c r="K199" s="198" t="s">
        <v>463</v>
      </c>
      <c r="L199" s="199"/>
      <c r="M199" s="472" t="s">
        <v>473</v>
      </c>
    </row>
    <row r="200" spans="1:13" ht="24">
      <c r="A200" s="968" t="s">
        <v>474</v>
      </c>
      <c r="B200" s="1022" t="s">
        <v>474</v>
      </c>
      <c r="C200" s="491" t="s">
        <v>475</v>
      </c>
      <c r="D200" s="82"/>
      <c r="E200" s="337" t="s">
        <v>472</v>
      </c>
      <c r="F200" s="312"/>
      <c r="G200" s="83">
        <f>IF(F200&gt;=1,G198*5%,0)</f>
        <v>0</v>
      </c>
      <c r="H200" s="74"/>
      <c r="I200" s="149" t="s">
        <v>127</v>
      </c>
      <c r="J200" s="368" t="s">
        <v>256</v>
      </c>
      <c r="K200" s="8" t="s">
        <v>463</v>
      </c>
      <c r="L200" s="193"/>
      <c r="M200" s="405" t="s">
        <v>476</v>
      </c>
    </row>
    <row r="201" spans="1:13" ht="24">
      <c r="A201" s="968"/>
      <c r="B201" s="1023"/>
      <c r="C201" s="491" t="s">
        <v>477</v>
      </c>
      <c r="D201" s="82"/>
      <c r="E201" s="337" t="s">
        <v>472</v>
      </c>
      <c r="F201" s="312"/>
      <c r="G201" s="83">
        <f>IF(F201&gt;=1,G198*10%,0)</f>
        <v>0</v>
      </c>
      <c r="H201" s="74"/>
      <c r="I201" s="149" t="s">
        <v>127</v>
      </c>
      <c r="J201" s="368" t="s">
        <v>256</v>
      </c>
      <c r="K201" s="8" t="s">
        <v>463</v>
      </c>
      <c r="L201" s="193"/>
      <c r="M201" s="405" t="s">
        <v>478</v>
      </c>
    </row>
    <row r="202" spans="1:13" ht="18" customHeight="1" thickBot="1">
      <c r="A202" s="460" t="s">
        <v>479</v>
      </c>
      <c r="B202" s="478" t="s">
        <v>479</v>
      </c>
      <c r="C202" s="173" t="s">
        <v>480</v>
      </c>
      <c r="D202" s="492"/>
      <c r="E202" s="493">
        <v>5</v>
      </c>
      <c r="F202" s="494"/>
      <c r="G202" s="495">
        <f>F202*E202</f>
        <v>0</v>
      </c>
      <c r="H202" s="496"/>
      <c r="I202" s="509" t="s">
        <v>215</v>
      </c>
      <c r="J202" s="497" t="s">
        <v>256</v>
      </c>
      <c r="K202" s="174" t="s">
        <v>463</v>
      </c>
      <c r="L202" s="498"/>
      <c r="M202" s="499" t="s">
        <v>481</v>
      </c>
    </row>
    <row r="203" spans="1:13" s="62" customFormat="1" ht="14.25" thickBot="1">
      <c r="A203" s="458" t="s">
        <v>468</v>
      </c>
      <c r="B203" s="458" t="s">
        <v>469</v>
      </c>
      <c r="C203" s="479"/>
      <c r="D203" s="480"/>
      <c r="E203" s="481"/>
      <c r="F203" s="482"/>
      <c r="G203" s="483">
        <f>SUM(G198:G202)</f>
        <v>50</v>
      </c>
      <c r="H203" s="484"/>
      <c r="I203" s="485"/>
      <c r="J203" s="486"/>
      <c r="K203" s="487"/>
      <c r="L203" s="486"/>
      <c r="M203" s="488"/>
    </row>
    <row r="204" spans="1:13" ht="24.75" thickBot="1">
      <c r="A204" s="461" t="s">
        <v>482</v>
      </c>
      <c r="B204" s="473" t="s">
        <v>482</v>
      </c>
      <c r="C204" s="299" t="s">
        <v>483</v>
      </c>
      <c r="D204" s="211"/>
      <c r="E204" s="212">
        <v>0.3</v>
      </c>
      <c r="F204" s="300"/>
      <c r="G204" s="301">
        <f>E204*F204</f>
        <v>0</v>
      </c>
      <c r="H204" s="213"/>
      <c r="I204" s="54" t="s">
        <v>484</v>
      </c>
      <c r="J204" s="214" t="s">
        <v>238</v>
      </c>
      <c r="K204" s="215" t="s">
        <v>238</v>
      </c>
      <c r="L204" s="216"/>
      <c r="M204" s="474" t="s">
        <v>828</v>
      </c>
    </row>
    <row r="205" spans="1:13" ht="14.25" thickBot="1">
      <c r="A205" s="458" t="s">
        <v>485</v>
      </c>
      <c r="B205" s="458" t="s">
        <v>486</v>
      </c>
      <c r="C205" s="200"/>
      <c r="D205" s="202"/>
      <c r="E205" s="203"/>
      <c r="F205" s="217"/>
      <c r="G205" s="218">
        <f>SUM(G203:G204)</f>
        <v>50</v>
      </c>
      <c r="H205" s="219"/>
      <c r="I205" s="220"/>
      <c r="J205" s="201"/>
      <c r="K205" s="220"/>
      <c r="L205" s="201"/>
      <c r="M205" s="209"/>
    </row>
    <row r="206" spans="1:13" ht="147" customHeight="1" thickBot="1">
      <c r="A206" s="462" t="s">
        <v>487</v>
      </c>
      <c r="B206" s="1024" t="s">
        <v>644</v>
      </c>
      <c r="C206" s="1025"/>
      <c r="D206" s="1025"/>
      <c r="E206" s="1025"/>
      <c r="F206" s="1025"/>
      <c r="G206" s="1025"/>
      <c r="H206" s="1025"/>
      <c r="I206" s="1025"/>
      <c r="J206" s="1025"/>
      <c r="K206" s="1025"/>
      <c r="L206" s="475"/>
      <c r="M206" s="476"/>
    </row>
    <row r="207" spans="1:13">
      <c r="A207" s="84"/>
      <c r="B207" s="85"/>
      <c r="C207" s="86"/>
      <c r="D207" s="87"/>
      <c r="F207" s="88"/>
      <c r="G207" s="88"/>
      <c r="H207" s="89"/>
      <c r="I207" s="510"/>
      <c r="K207" s="91"/>
      <c r="L207" s="92"/>
    </row>
    <row r="208" spans="1:13">
      <c r="A208" s="84"/>
      <c r="B208" s="85"/>
      <c r="C208" s="86"/>
      <c r="D208" s="87"/>
      <c r="F208" s="88"/>
      <c r="G208" s="88"/>
      <c r="H208" s="89"/>
      <c r="I208" s="510"/>
      <c r="K208" s="91"/>
      <c r="L208" s="92"/>
    </row>
    <row r="209" spans="1:13">
      <c r="A209" s="84"/>
      <c r="B209" s="85"/>
      <c r="C209" s="86"/>
      <c r="D209" s="87"/>
      <c r="F209" s="88"/>
      <c r="G209" s="88"/>
      <c r="H209" s="89"/>
      <c r="I209" s="510"/>
      <c r="K209" s="91"/>
      <c r="L209" s="92"/>
    </row>
    <row r="210" spans="1:13">
      <c r="A210" s="84"/>
      <c r="B210" s="85"/>
      <c r="C210" s="86"/>
      <c r="D210" s="87"/>
      <c r="F210" s="88"/>
      <c r="G210" s="88"/>
      <c r="H210" s="89"/>
      <c r="I210" s="510"/>
      <c r="K210" s="91"/>
      <c r="L210" s="92"/>
    </row>
    <row r="211" spans="1:13">
      <c r="A211" s="84"/>
      <c r="B211" s="85"/>
      <c r="C211" s="86"/>
      <c r="D211" s="87"/>
      <c r="F211" s="62"/>
      <c r="G211" s="88"/>
      <c r="H211" s="89"/>
      <c r="I211" s="510"/>
      <c r="J211" s="62"/>
      <c r="K211" s="62"/>
      <c r="L211" s="92"/>
    </row>
    <row r="212" spans="1:13">
      <c r="A212" s="84"/>
      <c r="B212" s="85"/>
      <c r="C212" s="86"/>
      <c r="D212" s="87"/>
      <c r="F212" s="62"/>
      <c r="G212" s="88"/>
      <c r="H212" s="89"/>
      <c r="I212" s="510"/>
      <c r="J212" s="62"/>
      <c r="K212" s="62"/>
      <c r="L212" s="92"/>
    </row>
    <row r="213" spans="1:13">
      <c r="A213" s="84"/>
      <c r="B213" s="85"/>
      <c r="C213" s="86"/>
      <c r="D213" s="87"/>
      <c r="F213" s="62"/>
      <c r="G213" s="88"/>
      <c r="H213" s="89"/>
      <c r="I213" s="510"/>
      <c r="J213" s="62"/>
      <c r="K213" s="62"/>
      <c r="L213" s="92"/>
    </row>
    <row r="214" spans="1:13">
      <c r="A214" s="84"/>
      <c r="B214" s="85"/>
      <c r="C214" s="86"/>
      <c r="D214" s="87"/>
      <c r="F214" s="62"/>
      <c r="G214" s="88"/>
      <c r="H214" s="89"/>
      <c r="I214" s="510"/>
      <c r="J214" s="62"/>
      <c r="K214" s="62"/>
      <c r="L214" s="92"/>
    </row>
    <row r="215" spans="1:13">
      <c r="A215" s="84"/>
      <c r="B215" s="85"/>
      <c r="C215" s="86"/>
      <c r="D215" s="87"/>
      <c r="F215" s="62"/>
      <c r="G215" s="88"/>
      <c r="H215" s="89"/>
      <c r="I215" s="510"/>
      <c r="J215" s="62"/>
      <c r="K215" s="62"/>
      <c r="L215" s="92"/>
    </row>
    <row r="216" spans="1:13">
      <c r="A216" s="84"/>
      <c r="B216" s="85"/>
      <c r="C216" s="86"/>
      <c r="D216" s="87"/>
      <c r="F216" s="62"/>
      <c r="G216" s="88"/>
      <c r="H216" s="89"/>
      <c r="I216" s="510"/>
      <c r="J216" s="62"/>
      <c r="K216" s="62"/>
    </row>
    <row r="217" spans="1:13">
      <c r="A217" s="84"/>
      <c r="B217" s="85"/>
      <c r="C217" s="86"/>
      <c r="D217" s="87"/>
      <c r="F217" s="62"/>
      <c r="G217" s="88"/>
      <c r="H217" s="89"/>
      <c r="I217" s="510"/>
      <c r="J217" s="62"/>
      <c r="K217" s="62"/>
    </row>
    <row r="218" spans="1:13">
      <c r="A218" s="84"/>
      <c r="B218" s="85"/>
      <c r="C218" s="86"/>
      <c r="D218" s="87"/>
      <c r="F218" s="62"/>
      <c r="G218" s="88"/>
      <c r="H218" s="89"/>
      <c r="I218" s="510"/>
      <c r="J218" s="62"/>
      <c r="K218" s="62"/>
    </row>
    <row r="219" spans="1:13">
      <c r="A219" s="84"/>
      <c r="B219" s="85"/>
      <c r="C219" s="86"/>
      <c r="D219" s="87"/>
      <c r="F219" s="62"/>
      <c r="G219" s="88"/>
      <c r="H219" s="89"/>
      <c r="I219" s="510"/>
      <c r="J219" s="62"/>
      <c r="K219" s="62"/>
    </row>
    <row r="220" spans="1:13">
      <c r="A220" s="84"/>
      <c r="B220" s="85"/>
      <c r="C220" s="86"/>
      <c r="D220" s="87"/>
      <c r="F220" s="62"/>
      <c r="G220" s="88"/>
      <c r="H220" s="89"/>
      <c r="I220" s="510"/>
      <c r="J220" s="62"/>
      <c r="K220" s="62"/>
    </row>
    <row r="221" spans="1:13">
      <c r="A221" s="84"/>
      <c r="B221" s="85"/>
      <c r="C221" s="86"/>
      <c r="D221" s="87"/>
      <c r="F221" s="62"/>
      <c r="G221" s="88"/>
      <c r="H221" s="89"/>
      <c r="I221" s="510"/>
      <c r="J221" s="62"/>
      <c r="K221" s="62"/>
    </row>
    <row r="222" spans="1:13">
      <c r="A222" s="84"/>
      <c r="B222" s="85"/>
      <c r="C222" s="86"/>
      <c r="D222" s="87"/>
      <c r="F222" s="62"/>
      <c r="G222" s="88"/>
      <c r="H222" s="89"/>
      <c r="I222" s="510"/>
      <c r="J222" s="62"/>
      <c r="K222" s="62"/>
      <c r="L222"/>
      <c r="M222"/>
    </row>
    <row r="223" spans="1:13">
      <c r="A223" s="84"/>
      <c r="B223" s="85"/>
      <c r="C223" s="86"/>
      <c r="D223" s="87"/>
      <c r="F223" s="62"/>
      <c r="G223" s="88"/>
      <c r="H223" s="89"/>
      <c r="I223" s="510"/>
      <c r="J223" s="62"/>
      <c r="K223" s="62"/>
      <c r="L223"/>
      <c r="M223"/>
    </row>
    <row r="224" spans="1:13">
      <c r="A224" s="84"/>
      <c r="B224" s="85"/>
      <c r="C224" s="86"/>
      <c r="D224" s="87"/>
      <c r="F224" s="62"/>
      <c r="G224" s="88"/>
      <c r="H224" s="89"/>
      <c r="I224" s="510"/>
      <c r="J224" s="62"/>
      <c r="K224" s="62"/>
      <c r="L224"/>
      <c r="M224"/>
    </row>
    <row r="225" spans="1:13">
      <c r="A225" s="84"/>
      <c r="B225" s="85"/>
      <c r="C225" s="86"/>
      <c r="D225" s="87"/>
      <c r="F225" s="62"/>
      <c r="G225" s="88"/>
      <c r="H225" s="89"/>
      <c r="I225" s="510"/>
      <c r="J225" s="62"/>
      <c r="K225" s="62"/>
      <c r="L225"/>
      <c r="M225"/>
    </row>
    <row r="226" spans="1:13">
      <c r="A226" s="84"/>
      <c r="B226" s="85"/>
      <c r="C226" s="86"/>
      <c r="D226" s="87"/>
      <c r="F226" s="62"/>
      <c r="G226" s="88"/>
      <c r="H226" s="89"/>
      <c r="I226" s="510"/>
      <c r="J226" s="62"/>
      <c r="K226" s="62"/>
      <c r="L226"/>
      <c r="M226"/>
    </row>
    <row r="227" spans="1:13">
      <c r="A227" s="84"/>
      <c r="B227" s="85"/>
      <c r="C227" s="86"/>
      <c r="D227" s="87"/>
      <c r="F227" s="62"/>
      <c r="G227" s="88"/>
      <c r="H227" s="89"/>
      <c r="I227" s="510"/>
      <c r="J227" s="62"/>
      <c r="K227" s="62"/>
      <c r="L227"/>
      <c r="M227"/>
    </row>
    <row r="228" spans="1:13">
      <c r="A228" s="84"/>
      <c r="B228" s="85"/>
      <c r="C228" s="86"/>
      <c r="D228" s="87"/>
      <c r="F228" s="62"/>
      <c r="G228" s="88"/>
      <c r="H228" s="89"/>
      <c r="I228" s="510"/>
      <c r="J228" s="62"/>
      <c r="K228" s="62"/>
      <c r="L228"/>
      <c r="M228"/>
    </row>
    <row r="229" spans="1:13">
      <c r="A229" s="84"/>
      <c r="B229" s="85"/>
      <c r="C229" s="86"/>
      <c r="D229" s="87"/>
      <c r="F229" s="62"/>
      <c r="G229" s="88"/>
      <c r="H229" s="89"/>
      <c r="I229" s="510"/>
      <c r="J229" s="62"/>
      <c r="K229" s="62"/>
      <c r="L229"/>
      <c r="M229"/>
    </row>
    <row r="230" spans="1:13">
      <c r="A230" s="84"/>
      <c r="B230" s="85"/>
      <c r="C230" s="86"/>
      <c r="D230" s="87"/>
      <c r="F230" s="62"/>
      <c r="G230" s="88"/>
      <c r="H230" s="89"/>
      <c r="I230" s="510"/>
      <c r="J230" s="62"/>
      <c r="K230" s="62"/>
      <c r="L230"/>
      <c r="M230"/>
    </row>
    <row r="231" spans="1:13">
      <c r="A231" s="84"/>
      <c r="B231" s="85"/>
      <c r="C231" s="86"/>
      <c r="D231" s="87"/>
      <c r="F231" s="62"/>
      <c r="G231" s="88"/>
      <c r="H231" s="89"/>
      <c r="I231" s="510"/>
      <c r="J231" s="62"/>
      <c r="K231" s="62"/>
      <c r="L231"/>
      <c r="M231"/>
    </row>
    <row r="232" spans="1:13">
      <c r="A232" s="84"/>
      <c r="B232" s="85"/>
      <c r="C232" s="86"/>
      <c r="D232" s="87"/>
      <c r="F232" s="62"/>
      <c r="G232" s="88"/>
      <c r="H232" s="89"/>
      <c r="I232" s="510"/>
      <c r="J232" s="62"/>
      <c r="K232" s="62"/>
      <c r="L232"/>
      <c r="M232"/>
    </row>
    <row r="233" spans="1:13">
      <c r="A233" s="84"/>
      <c r="B233" s="85"/>
      <c r="C233" s="86"/>
      <c r="D233" s="87"/>
      <c r="F233" s="62"/>
      <c r="G233" s="88"/>
      <c r="H233" s="89"/>
      <c r="I233" s="510"/>
      <c r="J233" s="62"/>
      <c r="K233" s="62"/>
      <c r="L233"/>
      <c r="M233"/>
    </row>
    <row r="234" spans="1:13">
      <c r="A234" s="84"/>
      <c r="B234" s="85"/>
      <c r="C234" s="86"/>
      <c r="D234" s="87"/>
      <c r="F234" s="62"/>
      <c r="G234" s="88"/>
      <c r="H234" s="89"/>
      <c r="I234" s="510"/>
      <c r="J234" s="62"/>
      <c r="K234" s="62"/>
      <c r="L234"/>
      <c r="M234"/>
    </row>
    <row r="235" spans="1:13">
      <c r="A235" s="84"/>
      <c r="B235" s="85"/>
      <c r="C235" s="86"/>
      <c r="D235" s="87"/>
      <c r="F235" s="62"/>
      <c r="G235" s="88"/>
      <c r="H235" s="89"/>
      <c r="I235" s="510"/>
      <c r="J235" s="62"/>
      <c r="K235" s="62"/>
      <c r="L235"/>
      <c r="M235"/>
    </row>
    <row r="236" spans="1:13">
      <c r="A236" s="84"/>
      <c r="B236" s="85"/>
      <c r="C236" s="86"/>
      <c r="D236" s="87"/>
      <c r="F236" s="62"/>
      <c r="G236" s="88"/>
      <c r="H236" s="89"/>
      <c r="I236" s="510"/>
      <c r="J236" s="62"/>
      <c r="K236" s="62"/>
      <c r="L236"/>
      <c r="M236"/>
    </row>
    <row r="237" spans="1:13">
      <c r="A237" s="84"/>
      <c r="B237" s="85"/>
      <c r="C237" s="86"/>
      <c r="D237" s="87"/>
      <c r="F237" s="62"/>
      <c r="G237" s="88"/>
      <c r="H237" s="89"/>
      <c r="I237" s="510"/>
      <c r="J237" s="62"/>
      <c r="K237" s="62"/>
      <c r="L237"/>
      <c r="M237"/>
    </row>
    <row r="238" spans="1:13">
      <c r="A238" s="84"/>
      <c r="B238" s="85"/>
      <c r="C238" s="86"/>
      <c r="D238" s="87"/>
      <c r="F238" s="62"/>
      <c r="G238" s="88"/>
      <c r="H238" s="89"/>
      <c r="I238" s="510"/>
      <c r="J238" s="62"/>
      <c r="K238" s="62"/>
      <c r="L238"/>
    </row>
    <row r="239" spans="1:13">
      <c r="A239" s="84"/>
      <c r="B239" s="85"/>
      <c r="C239" s="86"/>
      <c r="D239" s="87"/>
      <c r="F239" s="62"/>
      <c r="G239" s="88"/>
      <c r="H239" s="89"/>
      <c r="I239" s="510"/>
      <c r="J239" s="62"/>
      <c r="K239" s="62"/>
      <c r="L239"/>
    </row>
    <row r="240" spans="1:13">
      <c r="A240" s="84"/>
      <c r="B240" s="85"/>
      <c r="C240" s="86"/>
      <c r="D240" s="87"/>
      <c r="F240" s="62"/>
      <c r="G240" s="88"/>
      <c r="H240" s="89"/>
      <c r="I240" s="510"/>
      <c r="J240" s="62"/>
      <c r="K240" s="62"/>
      <c r="L240"/>
    </row>
    <row r="241" spans="1:13">
      <c r="A241" s="84"/>
      <c r="B241" s="85"/>
      <c r="C241" s="86"/>
      <c r="D241" s="87"/>
      <c r="F241" s="62"/>
      <c r="G241" s="88"/>
      <c r="H241" s="89"/>
      <c r="I241" s="510"/>
      <c r="J241" s="62"/>
      <c r="K241" s="62"/>
      <c r="L241"/>
    </row>
    <row r="242" spans="1:13">
      <c r="A242" s="84"/>
      <c r="B242" s="85"/>
      <c r="C242" s="86"/>
      <c r="D242" s="87"/>
      <c r="F242" s="62"/>
      <c r="G242" s="88"/>
      <c r="H242" s="89"/>
      <c r="I242" s="510"/>
      <c r="J242" s="62"/>
      <c r="K242" s="62"/>
      <c r="L242"/>
    </row>
    <row r="243" spans="1:13">
      <c r="A243" s="84"/>
      <c r="B243" s="85"/>
      <c r="C243" s="86"/>
      <c r="D243" s="87"/>
      <c r="F243" s="62"/>
      <c r="G243" s="88"/>
      <c r="H243" s="89"/>
      <c r="I243" s="510"/>
      <c r="J243" s="62"/>
      <c r="K243" s="62"/>
      <c r="L243"/>
    </row>
    <row r="244" spans="1:13">
      <c r="A244" s="84"/>
      <c r="B244" s="85"/>
      <c r="C244" s="86"/>
      <c r="D244" s="87"/>
      <c r="F244" s="62"/>
      <c r="G244" s="88"/>
      <c r="H244" s="89"/>
      <c r="I244" s="510"/>
      <c r="J244" s="62"/>
      <c r="K244" s="62"/>
      <c r="L244"/>
    </row>
    <row r="245" spans="1:13">
      <c r="A245" s="84"/>
      <c r="B245" s="85"/>
      <c r="C245" s="86"/>
      <c r="D245" s="87"/>
      <c r="F245" s="62"/>
      <c r="G245" s="88"/>
      <c r="H245" s="89"/>
      <c r="I245" s="510"/>
      <c r="J245" s="62"/>
      <c r="K245" s="62"/>
      <c r="L245"/>
    </row>
    <row r="246" spans="1:13">
      <c r="A246" s="94"/>
      <c r="B246" s="85"/>
      <c r="C246" s="86"/>
      <c r="D246" s="87"/>
      <c r="F246" s="62"/>
      <c r="G246" s="88"/>
      <c r="H246" s="89"/>
      <c r="I246" s="510"/>
      <c r="J246" s="62"/>
      <c r="K246" s="62"/>
      <c r="L246"/>
    </row>
    <row r="247" spans="1:13">
      <c r="A247" s="94"/>
      <c r="B247" s="85"/>
      <c r="F247"/>
      <c r="J247" s="62"/>
      <c r="K247"/>
      <c r="L247"/>
      <c r="M247"/>
    </row>
    <row r="248" spans="1:13">
      <c r="A248" s="94"/>
      <c r="B248" s="85"/>
      <c r="F248"/>
      <c r="J248" s="62"/>
      <c r="K248"/>
      <c r="L248"/>
      <c r="M248"/>
    </row>
    <row r="249" spans="1:13">
      <c r="A249" s="94"/>
      <c r="B249" s="85"/>
      <c r="F249"/>
      <c r="J249" s="62"/>
      <c r="K249"/>
      <c r="L249"/>
      <c r="M249"/>
    </row>
    <row r="250" spans="1:13">
      <c r="A250" s="94"/>
      <c r="B250" s="85"/>
      <c r="F250"/>
      <c r="J250" s="62"/>
      <c r="K250"/>
      <c r="L250"/>
      <c r="M250"/>
    </row>
    <row r="251" spans="1:13">
      <c r="A251" s="94"/>
      <c r="B251" s="85"/>
      <c r="F251"/>
      <c r="J251" s="62"/>
      <c r="K251"/>
      <c r="L251"/>
      <c r="M251"/>
    </row>
    <row r="252" spans="1:13">
      <c r="A252" s="94"/>
      <c r="B252" s="85"/>
      <c r="F252"/>
      <c r="J252" s="62"/>
      <c r="K252"/>
      <c r="L252"/>
      <c r="M252"/>
    </row>
    <row r="253" spans="1:13">
      <c r="A253" s="94"/>
      <c r="B253" s="85"/>
      <c r="F253"/>
      <c r="J253" s="62"/>
      <c r="K253"/>
      <c r="L253"/>
      <c r="M253"/>
    </row>
    <row r="254" spans="1:13">
      <c r="A254" s="94"/>
      <c r="B254" s="85"/>
      <c r="F254"/>
      <c r="J254" s="62"/>
      <c r="K254"/>
      <c r="L254"/>
      <c r="M254"/>
    </row>
    <row r="255" spans="1:13">
      <c r="A255" s="94"/>
      <c r="B255" s="85"/>
      <c r="F255"/>
      <c r="J255" s="62"/>
      <c r="K255"/>
      <c r="L255"/>
      <c r="M255"/>
    </row>
    <row r="256" spans="1:13">
      <c r="A256" s="94"/>
      <c r="B256" s="85"/>
      <c r="F256"/>
      <c r="J256" s="62"/>
      <c r="K256"/>
      <c r="L256"/>
      <c r="M256"/>
    </row>
    <row r="257" spans="1:13">
      <c r="A257" s="94"/>
      <c r="B257" s="85"/>
      <c r="F257"/>
      <c r="J257" s="62"/>
      <c r="K257"/>
      <c r="L257"/>
      <c r="M257"/>
    </row>
    <row r="258" spans="1:13">
      <c r="A258" s="94"/>
      <c r="B258" s="85"/>
      <c r="F258"/>
      <c r="J258" s="62"/>
      <c r="K258"/>
      <c r="L258"/>
      <c r="M258"/>
    </row>
    <row r="259" spans="1:13">
      <c r="A259" s="94"/>
      <c r="B259" s="85"/>
      <c r="F259"/>
      <c r="J259" s="62"/>
      <c r="K259"/>
      <c r="L259"/>
      <c r="M259"/>
    </row>
    <row r="260" spans="1:13">
      <c r="A260" s="94"/>
      <c r="B260" s="85"/>
      <c r="F260"/>
      <c r="J260" s="62"/>
      <c r="K260"/>
      <c r="L260"/>
      <c r="M260"/>
    </row>
    <row r="261" spans="1:13">
      <c r="A261" s="94"/>
      <c r="B261" s="85"/>
      <c r="F261"/>
      <c r="J261" s="62"/>
      <c r="K261"/>
      <c r="L261"/>
      <c r="M261"/>
    </row>
    <row r="262" spans="1:13">
      <c r="A262" s="94"/>
      <c r="B262" s="85"/>
      <c r="F262"/>
      <c r="J262" s="62"/>
      <c r="K262"/>
      <c r="L262"/>
      <c r="M262"/>
    </row>
    <row r="263" spans="1:13">
      <c r="A263" s="94"/>
      <c r="B263" s="85"/>
      <c r="F263"/>
      <c r="J263" s="62"/>
      <c r="K263"/>
      <c r="L263"/>
      <c r="M263"/>
    </row>
    <row r="264" spans="1:13">
      <c r="A264" s="94"/>
      <c r="B264" s="85"/>
      <c r="F264"/>
      <c r="J264" s="62"/>
      <c r="K264"/>
      <c r="L264"/>
      <c r="M264"/>
    </row>
    <row r="265" spans="1:13">
      <c r="A265" s="94"/>
      <c r="B265" s="85"/>
      <c r="F265"/>
      <c r="J265" s="62"/>
      <c r="K265"/>
      <c r="L265"/>
      <c r="M265"/>
    </row>
    <row r="266" spans="1:13">
      <c r="A266" s="94"/>
      <c r="B266" s="85"/>
      <c r="F266"/>
      <c r="J266" s="62"/>
      <c r="K266"/>
      <c r="L266"/>
      <c r="M266"/>
    </row>
    <row r="267" spans="1:13">
      <c r="A267" s="94"/>
      <c r="B267" s="85"/>
      <c r="F267"/>
      <c r="J267" s="62"/>
      <c r="K267"/>
      <c r="L267"/>
      <c r="M267"/>
    </row>
    <row r="268" spans="1:13">
      <c r="A268" s="94"/>
      <c r="B268" s="85"/>
      <c r="F268"/>
      <c r="J268" s="62"/>
      <c r="K268"/>
      <c r="L268"/>
      <c r="M268"/>
    </row>
    <row r="269" spans="1:13">
      <c r="A269" s="94"/>
      <c r="B269" s="85"/>
      <c r="F269"/>
      <c r="J269" s="62"/>
      <c r="K269"/>
      <c r="L269"/>
      <c r="M269"/>
    </row>
    <row r="270" spans="1:13">
      <c r="A270" s="94"/>
      <c r="B270" s="85"/>
      <c r="F270"/>
      <c r="J270" s="62"/>
      <c r="K270"/>
      <c r="L270"/>
      <c r="M270"/>
    </row>
    <row r="271" spans="1:13">
      <c r="A271" s="94"/>
      <c r="B271" s="85"/>
      <c r="F271"/>
      <c r="J271" s="62"/>
      <c r="K271"/>
      <c r="L271"/>
      <c r="M271"/>
    </row>
    <row r="272" spans="1:13">
      <c r="A272" s="94"/>
      <c r="B272" s="85"/>
      <c r="F272"/>
      <c r="J272" s="62"/>
      <c r="K272"/>
      <c r="L272"/>
      <c r="M272"/>
    </row>
    <row r="273" spans="1:13">
      <c r="A273" s="94"/>
      <c r="B273" s="85"/>
      <c r="F273"/>
      <c r="J273" s="62"/>
      <c r="K273"/>
      <c r="L273"/>
      <c r="M273"/>
    </row>
    <row r="274" spans="1:13">
      <c r="A274" s="94"/>
      <c r="B274" s="85"/>
      <c r="F274"/>
      <c r="J274" s="62"/>
      <c r="K274"/>
      <c r="L274"/>
      <c r="M274"/>
    </row>
    <row r="275" spans="1:13">
      <c r="A275" s="94"/>
      <c r="B275" s="85"/>
      <c r="F275"/>
      <c r="J275" s="62"/>
      <c r="K275"/>
      <c r="L275"/>
      <c r="M275"/>
    </row>
    <row r="276" spans="1:13">
      <c r="A276" s="94"/>
      <c r="B276" s="85"/>
      <c r="F276"/>
      <c r="J276" s="62"/>
      <c r="K276"/>
      <c r="L276"/>
      <c r="M276"/>
    </row>
    <row r="277" spans="1:13">
      <c r="A277" s="94"/>
      <c r="B277" s="85"/>
      <c r="F277"/>
      <c r="J277" s="62"/>
      <c r="K277"/>
      <c r="L277"/>
      <c r="M277"/>
    </row>
    <row r="278" spans="1:13">
      <c r="A278" s="94"/>
      <c r="B278" s="85"/>
      <c r="F278"/>
      <c r="J278" s="62"/>
      <c r="K278"/>
      <c r="L278"/>
      <c r="M278"/>
    </row>
    <row r="279" spans="1:13">
      <c r="A279" s="94"/>
      <c r="B279" s="85"/>
      <c r="F279"/>
      <c r="J279" s="62"/>
      <c r="K279"/>
      <c r="L279"/>
      <c r="M279"/>
    </row>
    <row r="280" spans="1:13">
      <c r="A280" s="94"/>
      <c r="B280" s="85"/>
      <c r="F280"/>
      <c r="J280" s="62"/>
      <c r="K280"/>
      <c r="L280"/>
      <c r="M280"/>
    </row>
    <row r="281" spans="1:13">
      <c r="A281" s="94"/>
      <c r="B281" s="85"/>
      <c r="F281"/>
      <c r="J281" s="62"/>
      <c r="K281"/>
      <c r="L281"/>
      <c r="M281"/>
    </row>
    <row r="282" spans="1:13">
      <c r="A282" s="94"/>
      <c r="B282" s="85"/>
      <c r="F282"/>
      <c r="J282" s="62"/>
      <c r="K282"/>
      <c r="L282"/>
      <c r="M282"/>
    </row>
    <row r="283" spans="1:13">
      <c r="A283" s="94"/>
      <c r="B283" s="85"/>
      <c r="F283"/>
      <c r="J283" s="62"/>
      <c r="K283"/>
      <c r="L283"/>
      <c r="M283"/>
    </row>
    <row r="284" spans="1:13">
      <c r="A284" s="94"/>
      <c r="B284" s="85"/>
      <c r="F284"/>
      <c r="J284" s="62"/>
      <c r="K284"/>
      <c r="L284"/>
      <c r="M284"/>
    </row>
    <row r="285" spans="1:13">
      <c r="A285" s="94"/>
      <c r="B285" s="85"/>
      <c r="F285"/>
      <c r="J285" s="62"/>
      <c r="K285"/>
      <c r="L285"/>
      <c r="M285"/>
    </row>
    <row r="286" spans="1:13">
      <c r="A286" s="94"/>
      <c r="B286" s="85"/>
      <c r="F286"/>
      <c r="J286" s="62"/>
      <c r="K286"/>
      <c r="L286"/>
      <c r="M286"/>
    </row>
    <row r="287" spans="1:13">
      <c r="A287" s="94"/>
      <c r="B287" s="85"/>
      <c r="F287"/>
      <c r="J287" s="62"/>
      <c r="K287"/>
      <c r="L287"/>
      <c r="M287"/>
    </row>
    <row r="288" spans="1:13">
      <c r="A288" s="94"/>
      <c r="B288" s="85"/>
      <c r="F288"/>
      <c r="J288" s="62"/>
      <c r="K288"/>
      <c r="L288"/>
      <c r="M288"/>
    </row>
    <row r="289" spans="1:13">
      <c r="A289" s="94"/>
      <c r="B289" s="85"/>
      <c r="F289"/>
      <c r="J289" s="62"/>
      <c r="K289"/>
      <c r="L289"/>
      <c r="M289"/>
    </row>
    <row r="290" spans="1:13">
      <c r="A290" s="94"/>
      <c r="B290" s="85"/>
      <c r="F290"/>
      <c r="J290" s="62"/>
      <c r="K290"/>
      <c r="L290"/>
      <c r="M290"/>
    </row>
    <row r="291" spans="1:13">
      <c r="A291" s="94"/>
      <c r="B291" s="85"/>
      <c r="F291"/>
      <c r="J291" s="62"/>
      <c r="K291"/>
      <c r="L291"/>
      <c r="M291"/>
    </row>
    <row r="292" spans="1:13">
      <c r="A292" s="94"/>
      <c r="B292" s="85"/>
      <c r="F292"/>
      <c r="J292" s="62"/>
      <c r="K292"/>
      <c r="L292"/>
      <c r="M292"/>
    </row>
    <row r="293" spans="1:13">
      <c r="A293" s="94"/>
      <c r="B293" s="85"/>
      <c r="F293"/>
      <c r="J293" s="62"/>
      <c r="K293"/>
      <c r="L293"/>
      <c r="M293"/>
    </row>
    <row r="294" spans="1:13">
      <c r="A294" s="94"/>
      <c r="B294" s="85"/>
      <c r="F294"/>
      <c r="J294" s="62"/>
      <c r="K294"/>
      <c r="L294"/>
      <c r="M294"/>
    </row>
    <row r="295" spans="1:13">
      <c r="A295" s="94"/>
      <c r="B295" s="85"/>
      <c r="F295"/>
      <c r="J295" s="62"/>
      <c r="K295"/>
      <c r="L295"/>
      <c r="M295"/>
    </row>
    <row r="296" spans="1:13">
      <c r="A296" s="94"/>
      <c r="B296" s="85"/>
      <c r="F296"/>
      <c r="J296" s="62"/>
      <c r="K296"/>
      <c r="L296"/>
      <c r="M296"/>
    </row>
    <row r="297" spans="1:13">
      <c r="A297" s="94"/>
      <c r="B297" s="85"/>
      <c r="F297"/>
      <c r="J297" s="62"/>
      <c r="K297"/>
      <c r="L297"/>
      <c r="M297"/>
    </row>
    <row r="298" spans="1:13">
      <c r="A298" s="94"/>
      <c r="B298" s="85"/>
      <c r="F298"/>
      <c r="J298" s="62"/>
      <c r="K298"/>
      <c r="L298"/>
      <c r="M298"/>
    </row>
    <row r="299" spans="1:13">
      <c r="A299" s="94"/>
      <c r="B299" s="85"/>
      <c r="F299"/>
      <c r="J299" s="62"/>
      <c r="K299"/>
      <c r="L299"/>
      <c r="M299"/>
    </row>
    <row r="300" spans="1:13">
      <c r="A300" s="94"/>
      <c r="B300" s="85"/>
      <c r="F300"/>
      <c r="J300" s="62"/>
      <c r="K300"/>
      <c r="L300"/>
      <c r="M300"/>
    </row>
    <row r="301" spans="1:13">
      <c r="A301" s="94"/>
      <c r="B301" s="85"/>
      <c r="F301"/>
      <c r="J301" s="62"/>
      <c r="K301"/>
      <c r="L301"/>
      <c r="M301"/>
    </row>
    <row r="302" spans="1:13">
      <c r="A302" s="94"/>
      <c r="B302" s="85"/>
      <c r="F302"/>
      <c r="J302" s="62"/>
      <c r="K302"/>
      <c r="L302"/>
      <c r="M302"/>
    </row>
    <row r="303" spans="1:13">
      <c r="A303" s="94"/>
      <c r="B303" s="85"/>
      <c r="F303"/>
      <c r="J303" s="62"/>
      <c r="K303"/>
      <c r="L303"/>
      <c r="M303"/>
    </row>
    <row r="304" spans="1:13">
      <c r="A304" s="94"/>
      <c r="B304" s="85"/>
      <c r="F304"/>
      <c r="J304" s="62"/>
      <c r="K304"/>
      <c r="L304"/>
      <c r="M304"/>
    </row>
    <row r="305" spans="1:13">
      <c r="A305" s="94"/>
      <c r="B305" s="85"/>
      <c r="F305"/>
      <c r="J305" s="62"/>
      <c r="K305"/>
      <c r="L305"/>
      <c r="M305"/>
    </row>
    <row r="306" spans="1:13">
      <c r="A306" s="94"/>
      <c r="B306" s="85"/>
      <c r="F306"/>
      <c r="J306" s="62"/>
      <c r="K306"/>
      <c r="L306"/>
      <c r="M306"/>
    </row>
    <row r="307" spans="1:13">
      <c r="A307" s="94"/>
      <c r="B307" s="85"/>
      <c r="F307"/>
      <c r="J307" s="62"/>
      <c r="K307"/>
      <c r="L307"/>
      <c r="M307"/>
    </row>
    <row r="308" spans="1:13">
      <c r="A308" s="94"/>
      <c r="B308" s="85"/>
      <c r="F308"/>
      <c r="J308" s="62"/>
      <c r="K308"/>
      <c r="L308"/>
      <c r="M308"/>
    </row>
    <row r="309" spans="1:13">
      <c r="A309" s="94"/>
      <c r="B309" s="85"/>
      <c r="F309"/>
      <c r="J309" s="62"/>
      <c r="K309"/>
      <c r="L309"/>
      <c r="M309"/>
    </row>
    <row r="310" spans="1:13">
      <c r="A310" s="94"/>
      <c r="B310" s="85"/>
      <c r="F310"/>
      <c r="J310" s="62"/>
      <c r="K310"/>
      <c r="L310"/>
      <c r="M310"/>
    </row>
    <row r="311" spans="1:13">
      <c r="A311" s="94"/>
      <c r="B311" s="85"/>
      <c r="F311"/>
      <c r="J311" s="62"/>
      <c r="K311"/>
      <c r="L311"/>
      <c r="M311"/>
    </row>
    <row r="312" spans="1:13">
      <c r="A312" s="94"/>
      <c r="B312" s="85"/>
      <c r="F312"/>
      <c r="J312" s="62"/>
      <c r="K312"/>
      <c r="L312"/>
      <c r="M312"/>
    </row>
    <row r="313" spans="1:13">
      <c r="A313" s="94"/>
      <c r="B313" s="85"/>
      <c r="F313"/>
      <c r="J313" s="62"/>
      <c r="K313"/>
      <c r="L313"/>
      <c r="M313"/>
    </row>
    <row r="314" spans="1:13">
      <c r="A314" s="94"/>
      <c r="B314" s="85"/>
      <c r="F314"/>
      <c r="J314" s="62"/>
      <c r="K314"/>
      <c r="L314"/>
      <c r="M314"/>
    </row>
    <row r="315" spans="1:13">
      <c r="A315" s="94"/>
      <c r="B315" s="85"/>
      <c r="F315"/>
      <c r="J315" s="62"/>
      <c r="K315"/>
      <c r="L315"/>
      <c r="M315"/>
    </row>
    <row r="316" spans="1:13">
      <c r="A316" s="94"/>
      <c r="B316" s="85"/>
      <c r="F316"/>
      <c r="J316" s="62"/>
      <c r="K316"/>
      <c r="L316"/>
      <c r="M316"/>
    </row>
    <row r="317" spans="1:13">
      <c r="A317" s="94"/>
      <c r="B317" s="85"/>
      <c r="F317"/>
      <c r="J317" s="62"/>
      <c r="K317"/>
      <c r="L317"/>
      <c r="M317"/>
    </row>
    <row r="318" spans="1:13">
      <c r="A318" s="94"/>
      <c r="B318" s="85"/>
      <c r="F318"/>
      <c r="J318" s="62"/>
      <c r="K318"/>
      <c r="L318"/>
      <c r="M318"/>
    </row>
    <row r="319" spans="1:13">
      <c r="A319" s="94"/>
      <c r="B319" s="85"/>
      <c r="F319"/>
      <c r="J319" s="62"/>
      <c r="K319"/>
      <c r="L319"/>
      <c r="M319"/>
    </row>
    <row r="320" spans="1:13">
      <c r="A320" s="94"/>
      <c r="B320" s="85"/>
      <c r="F320"/>
      <c r="J320" s="62"/>
      <c r="K320"/>
      <c r="L320"/>
      <c r="M320"/>
    </row>
    <row r="321" spans="1:13">
      <c r="A321" s="94"/>
      <c r="B321" s="85"/>
      <c r="F321"/>
      <c r="J321" s="62"/>
      <c r="K321"/>
      <c r="L321"/>
      <c r="M321"/>
    </row>
    <row r="322" spans="1:13">
      <c r="A322" s="94"/>
      <c r="B322" s="85"/>
      <c r="F322"/>
      <c r="J322" s="62"/>
      <c r="K322"/>
      <c r="L322"/>
      <c r="M322"/>
    </row>
    <row r="323" spans="1:13">
      <c r="A323" s="94"/>
      <c r="B323" s="85"/>
      <c r="F323"/>
      <c r="J323" s="62"/>
      <c r="K323"/>
      <c r="L323"/>
      <c r="M323"/>
    </row>
    <row r="324" spans="1:13">
      <c r="A324" s="94"/>
      <c r="B324" s="85"/>
      <c r="F324"/>
      <c r="J324" s="62"/>
      <c r="K324"/>
      <c r="L324"/>
      <c r="M324"/>
    </row>
    <row r="325" spans="1:13">
      <c r="A325" s="94"/>
      <c r="B325" s="85"/>
      <c r="F325"/>
      <c r="J325" s="62"/>
      <c r="K325"/>
      <c r="L325"/>
      <c r="M325"/>
    </row>
    <row r="326" spans="1:13">
      <c r="A326" s="94"/>
      <c r="B326" s="85"/>
      <c r="F326"/>
      <c r="J326" s="62"/>
      <c r="K326"/>
      <c r="L326"/>
      <c r="M326"/>
    </row>
    <row r="327" spans="1:13">
      <c r="A327" s="94"/>
      <c r="B327" s="85"/>
      <c r="F327"/>
      <c r="J327" s="62"/>
      <c r="K327"/>
      <c r="L327"/>
      <c r="M327"/>
    </row>
    <row r="328" spans="1:13">
      <c r="A328" s="94"/>
      <c r="B328" s="85"/>
      <c r="F328"/>
      <c r="J328" s="62"/>
      <c r="K328"/>
      <c r="L328"/>
      <c r="M328"/>
    </row>
    <row r="329" spans="1:13">
      <c r="A329" s="94"/>
      <c r="B329" s="85"/>
      <c r="F329"/>
      <c r="J329" s="62"/>
      <c r="K329"/>
      <c r="L329"/>
      <c r="M329"/>
    </row>
    <row r="330" spans="1:13">
      <c r="A330" s="94"/>
      <c r="B330" s="85"/>
      <c r="F330"/>
      <c r="J330" s="62"/>
      <c r="K330"/>
      <c r="L330"/>
      <c r="M330"/>
    </row>
    <row r="331" spans="1:13">
      <c r="A331" s="94"/>
      <c r="B331" s="85"/>
      <c r="F331"/>
      <c r="J331" s="62"/>
      <c r="K331"/>
      <c r="L331"/>
      <c r="M331"/>
    </row>
    <row r="332" spans="1:13">
      <c r="A332" s="94"/>
      <c r="B332" s="85"/>
      <c r="F332"/>
      <c r="J332" s="62"/>
      <c r="K332"/>
      <c r="L332"/>
      <c r="M332"/>
    </row>
    <row r="333" spans="1:13">
      <c r="A333" s="94"/>
      <c r="B333" s="85"/>
      <c r="F333"/>
      <c r="J333" s="62"/>
      <c r="K333"/>
      <c r="L333"/>
      <c r="M333"/>
    </row>
    <row r="334" spans="1:13">
      <c r="A334" s="94"/>
      <c r="B334" s="85"/>
      <c r="F334"/>
      <c r="J334" s="62"/>
      <c r="K334"/>
      <c r="L334"/>
      <c r="M334"/>
    </row>
    <row r="335" spans="1:13">
      <c r="A335" s="94"/>
      <c r="B335" s="85"/>
      <c r="F335"/>
      <c r="J335" s="62"/>
      <c r="K335"/>
      <c r="L335"/>
      <c r="M335"/>
    </row>
    <row r="336" spans="1:13">
      <c r="A336" s="94"/>
      <c r="B336" s="85"/>
      <c r="F336"/>
      <c r="J336" s="62"/>
      <c r="K336"/>
      <c r="L336"/>
      <c r="M336"/>
    </row>
    <row r="337" spans="1:13">
      <c r="A337" s="94"/>
      <c r="B337" s="85"/>
      <c r="F337"/>
      <c r="J337" s="62"/>
      <c r="K337"/>
      <c r="L337"/>
      <c r="M337"/>
    </row>
    <row r="338" spans="1:13">
      <c r="A338" s="94"/>
      <c r="B338" s="85"/>
      <c r="F338"/>
      <c r="J338" s="62"/>
      <c r="K338"/>
      <c r="L338"/>
      <c r="M338"/>
    </row>
    <row r="339" spans="1:13">
      <c r="A339" s="94"/>
      <c r="B339" s="85"/>
      <c r="F339"/>
      <c r="J339" s="62"/>
      <c r="K339"/>
      <c r="L339"/>
      <c r="M339"/>
    </row>
    <row r="340" spans="1:13">
      <c r="A340" s="94"/>
      <c r="B340" s="85"/>
      <c r="F340"/>
      <c r="J340" s="62"/>
      <c r="K340"/>
      <c r="L340"/>
      <c r="M340"/>
    </row>
    <row r="341" spans="1:13">
      <c r="A341" s="94"/>
      <c r="B341" s="85"/>
      <c r="F341"/>
      <c r="J341" s="62"/>
      <c r="K341"/>
      <c r="L341"/>
      <c r="M341"/>
    </row>
    <row r="342" spans="1:13">
      <c r="A342" s="94"/>
      <c r="B342" s="85"/>
      <c r="F342"/>
      <c r="J342" s="62"/>
      <c r="K342"/>
      <c r="L342"/>
      <c r="M342"/>
    </row>
    <row r="343" spans="1:13">
      <c r="A343" s="94"/>
      <c r="B343" s="85"/>
      <c r="F343"/>
      <c r="J343" s="62"/>
      <c r="K343"/>
      <c r="L343"/>
      <c r="M343"/>
    </row>
    <row r="344" spans="1:13">
      <c r="A344" s="94"/>
      <c r="B344" s="85"/>
      <c r="F344"/>
      <c r="J344" s="62"/>
      <c r="K344"/>
      <c r="L344"/>
      <c r="M344"/>
    </row>
    <row r="345" spans="1:13">
      <c r="A345" s="94"/>
      <c r="B345" s="85"/>
      <c r="F345"/>
      <c r="J345" s="62"/>
      <c r="K345"/>
      <c r="L345"/>
      <c r="M345"/>
    </row>
    <row r="346" spans="1:13">
      <c r="A346" s="94"/>
      <c r="B346" s="85"/>
      <c r="F346"/>
      <c r="J346" s="62"/>
      <c r="K346"/>
      <c r="L346"/>
      <c r="M346"/>
    </row>
    <row r="347" spans="1:13">
      <c r="A347" s="94"/>
      <c r="B347" s="85"/>
      <c r="F347"/>
      <c r="J347" s="62"/>
      <c r="K347"/>
      <c r="L347"/>
      <c r="M347"/>
    </row>
    <row r="348" spans="1:13">
      <c r="A348" s="94"/>
      <c r="B348" s="85"/>
      <c r="F348"/>
      <c r="J348" s="62"/>
      <c r="K348"/>
      <c r="L348"/>
      <c r="M348"/>
    </row>
    <row r="349" spans="1:13">
      <c r="A349" s="94"/>
      <c r="B349" s="85"/>
      <c r="F349"/>
      <c r="J349" s="62"/>
      <c r="K349"/>
      <c r="L349"/>
      <c r="M349"/>
    </row>
    <row r="350" spans="1:13">
      <c r="A350" s="94"/>
      <c r="B350" s="85"/>
      <c r="F350"/>
      <c r="J350" s="62"/>
      <c r="K350"/>
      <c r="L350"/>
      <c r="M350"/>
    </row>
    <row r="351" spans="1:13">
      <c r="A351" s="94"/>
      <c r="B351" s="85"/>
      <c r="F351"/>
      <c r="J351" s="62"/>
      <c r="K351"/>
      <c r="L351"/>
      <c r="M351"/>
    </row>
    <row r="352" spans="1:13">
      <c r="A352" s="94"/>
      <c r="B352" s="85"/>
      <c r="F352"/>
      <c r="J352" s="62"/>
      <c r="K352"/>
      <c r="L352"/>
      <c r="M352"/>
    </row>
    <row r="353" spans="1:13">
      <c r="A353" s="94"/>
      <c r="B353" s="85"/>
      <c r="F353"/>
      <c r="J353" s="62"/>
      <c r="K353"/>
      <c r="L353"/>
      <c r="M353"/>
    </row>
    <row r="354" spans="1:13">
      <c r="A354" s="94"/>
      <c r="B354" s="85"/>
      <c r="F354"/>
      <c r="J354" s="62"/>
      <c r="K354"/>
      <c r="L354"/>
      <c r="M354"/>
    </row>
    <row r="355" spans="1:13">
      <c r="A355" s="94"/>
      <c r="B355" s="85"/>
      <c r="F355"/>
      <c r="J355" s="62"/>
      <c r="K355"/>
      <c r="L355"/>
      <c r="M355"/>
    </row>
    <row r="356" spans="1:13">
      <c r="A356" s="94"/>
      <c r="B356" s="85"/>
      <c r="F356"/>
      <c r="J356" s="62"/>
      <c r="K356"/>
      <c r="L356"/>
      <c r="M356"/>
    </row>
    <row r="357" spans="1:13">
      <c r="A357" s="94"/>
      <c r="B357" s="85"/>
      <c r="F357"/>
      <c r="J357" s="62"/>
      <c r="K357"/>
      <c r="L357"/>
      <c r="M357"/>
    </row>
    <row r="358" spans="1:13">
      <c r="A358" s="94"/>
      <c r="B358" s="85"/>
      <c r="F358"/>
      <c r="J358" s="62"/>
      <c r="K358"/>
      <c r="L358"/>
      <c r="M358"/>
    </row>
    <row r="359" spans="1:13">
      <c r="A359" s="94"/>
      <c r="B359" s="85"/>
      <c r="F359"/>
      <c r="J359" s="62"/>
      <c r="K359"/>
      <c r="L359"/>
      <c r="M359"/>
    </row>
    <row r="360" spans="1:13">
      <c r="A360" s="94"/>
      <c r="B360" s="85"/>
      <c r="F360"/>
      <c r="J360" s="62"/>
      <c r="K360"/>
      <c r="L360"/>
      <c r="M360"/>
    </row>
    <row r="361" spans="1:13">
      <c r="A361" s="94"/>
      <c r="B361" s="85"/>
      <c r="F361"/>
      <c r="J361" s="62"/>
      <c r="K361"/>
      <c r="L361"/>
      <c r="M361"/>
    </row>
    <row r="362" spans="1:13">
      <c r="A362" s="94"/>
      <c r="B362" s="85"/>
      <c r="F362"/>
      <c r="J362" s="62"/>
      <c r="K362"/>
      <c r="L362"/>
      <c r="M362"/>
    </row>
    <row r="363" spans="1:13">
      <c r="A363" s="94"/>
      <c r="B363" s="85"/>
      <c r="F363"/>
      <c r="J363" s="62"/>
      <c r="K363"/>
      <c r="L363"/>
      <c r="M363"/>
    </row>
    <row r="364" spans="1:13">
      <c r="A364" s="94"/>
      <c r="B364" s="85"/>
      <c r="F364"/>
      <c r="J364" s="62"/>
      <c r="K364"/>
      <c r="L364"/>
      <c r="M364"/>
    </row>
    <row r="365" spans="1:13">
      <c r="A365" s="94"/>
      <c r="B365" s="85"/>
      <c r="F365"/>
      <c r="J365" s="62"/>
      <c r="K365"/>
      <c r="L365"/>
      <c r="M365"/>
    </row>
    <row r="366" spans="1:13">
      <c r="A366" s="94"/>
      <c r="B366" s="85"/>
      <c r="F366"/>
      <c r="J366" s="62"/>
      <c r="K366"/>
      <c r="L366"/>
      <c r="M366"/>
    </row>
    <row r="367" spans="1:13">
      <c r="A367" s="94"/>
      <c r="B367" s="85"/>
      <c r="F367"/>
      <c r="J367" s="62"/>
      <c r="K367"/>
      <c r="L367"/>
      <c r="M367"/>
    </row>
    <row r="368" spans="1:13">
      <c r="A368" s="94"/>
      <c r="B368" s="85"/>
      <c r="F368"/>
      <c r="J368" s="62"/>
      <c r="K368"/>
      <c r="L368"/>
      <c r="M368"/>
    </row>
    <row r="369" spans="1:13">
      <c r="A369" s="94"/>
      <c r="B369" s="85"/>
      <c r="F369"/>
      <c r="J369" s="62"/>
      <c r="K369"/>
      <c r="L369"/>
      <c r="M369"/>
    </row>
    <row r="370" spans="1:13">
      <c r="A370" s="94"/>
      <c r="B370" s="85"/>
      <c r="F370"/>
      <c r="J370" s="62"/>
      <c r="K370"/>
      <c r="L370"/>
      <c r="M370"/>
    </row>
    <row r="371" spans="1:13">
      <c r="A371" s="94"/>
      <c r="B371" s="85"/>
      <c r="F371"/>
      <c r="J371" s="62"/>
      <c r="K371"/>
      <c r="L371"/>
      <c r="M371"/>
    </row>
    <row r="372" spans="1:13">
      <c r="A372" s="94"/>
      <c r="B372" s="85"/>
      <c r="F372"/>
      <c r="J372" s="62"/>
      <c r="K372"/>
      <c r="L372"/>
      <c r="M372"/>
    </row>
    <row r="373" spans="1:13">
      <c r="A373" s="94"/>
      <c r="B373" s="85"/>
      <c r="F373"/>
      <c r="J373" s="62"/>
      <c r="K373"/>
      <c r="L373"/>
      <c r="M373"/>
    </row>
    <row r="374" spans="1:13">
      <c r="A374" s="94"/>
      <c r="B374" s="85"/>
      <c r="F374"/>
      <c r="J374" s="62"/>
      <c r="K374"/>
      <c r="L374"/>
      <c r="M374"/>
    </row>
    <row r="375" spans="1:13">
      <c r="A375" s="94"/>
      <c r="B375" s="85"/>
      <c r="F375"/>
      <c r="J375" s="62"/>
      <c r="K375"/>
      <c r="L375"/>
      <c r="M375"/>
    </row>
    <row r="376" spans="1:13">
      <c r="A376" s="94"/>
      <c r="B376" s="85"/>
      <c r="F376"/>
      <c r="J376" s="62"/>
      <c r="K376"/>
      <c r="L376"/>
      <c r="M376"/>
    </row>
    <row r="377" spans="1:13">
      <c r="A377" s="94"/>
      <c r="B377" s="85"/>
      <c r="F377"/>
      <c r="J377" s="62"/>
      <c r="K377"/>
      <c r="L377"/>
      <c r="M377"/>
    </row>
    <row r="378" spans="1:13">
      <c r="A378" s="94"/>
      <c r="B378" s="85"/>
      <c r="F378"/>
      <c r="J378" s="62"/>
      <c r="K378"/>
      <c r="L378"/>
      <c r="M378"/>
    </row>
    <row r="379" spans="1:13">
      <c r="A379" s="94"/>
      <c r="B379" s="85"/>
      <c r="F379"/>
      <c r="J379" s="62"/>
      <c r="K379"/>
      <c r="L379"/>
      <c r="M379"/>
    </row>
    <row r="380" spans="1:13">
      <c r="A380" s="94"/>
      <c r="B380" s="85"/>
      <c r="F380"/>
      <c r="J380" s="62"/>
      <c r="K380"/>
      <c r="L380"/>
      <c r="M380"/>
    </row>
    <row r="381" spans="1:13">
      <c r="A381" s="94"/>
      <c r="B381" s="85"/>
      <c r="F381"/>
      <c r="J381" s="62"/>
      <c r="K381"/>
      <c r="L381"/>
      <c r="M381"/>
    </row>
    <row r="382" spans="1:13">
      <c r="A382" s="94"/>
      <c r="B382" s="85"/>
      <c r="F382"/>
      <c r="J382" s="62"/>
      <c r="K382"/>
      <c r="L382"/>
      <c r="M382"/>
    </row>
    <row r="383" spans="1:13">
      <c r="A383" s="94"/>
      <c r="B383" s="85"/>
      <c r="F383"/>
      <c r="J383" s="62"/>
      <c r="K383"/>
      <c r="L383"/>
      <c r="M383"/>
    </row>
    <row r="384" spans="1:13">
      <c r="A384" s="94"/>
      <c r="B384" s="85"/>
      <c r="F384"/>
      <c r="J384" s="62"/>
      <c r="K384"/>
      <c r="L384"/>
      <c r="M384"/>
    </row>
    <row r="385" spans="1:13">
      <c r="A385" s="94"/>
      <c r="B385" s="85"/>
      <c r="F385"/>
      <c r="J385" s="62"/>
      <c r="K385"/>
      <c r="L385"/>
      <c r="M385"/>
    </row>
    <row r="386" spans="1:13">
      <c r="A386" s="94"/>
      <c r="B386" s="85"/>
      <c r="F386"/>
      <c r="J386" s="62"/>
      <c r="K386"/>
      <c r="L386"/>
      <c r="M386"/>
    </row>
    <row r="387" spans="1:13">
      <c r="A387" s="94"/>
      <c r="B387" s="85"/>
      <c r="F387"/>
      <c r="J387" s="62"/>
      <c r="K387"/>
      <c r="L387"/>
      <c r="M387"/>
    </row>
    <row r="388" spans="1:13">
      <c r="A388" s="94"/>
      <c r="B388" s="85"/>
      <c r="F388"/>
      <c r="J388" s="62"/>
      <c r="K388"/>
      <c r="L388"/>
      <c r="M388"/>
    </row>
    <row r="389" spans="1:13">
      <c r="A389" s="94"/>
      <c r="B389" s="85"/>
      <c r="F389"/>
      <c r="J389" s="62"/>
      <c r="K389"/>
      <c r="L389"/>
      <c r="M389"/>
    </row>
    <row r="390" spans="1:13">
      <c r="A390" s="94"/>
      <c r="B390" s="85"/>
      <c r="F390"/>
      <c r="J390" s="62"/>
      <c r="K390"/>
      <c r="L390"/>
      <c r="M390"/>
    </row>
    <row r="391" spans="1:13">
      <c r="A391" s="94"/>
      <c r="B391" s="85"/>
      <c r="F391"/>
      <c r="J391" s="62"/>
      <c r="K391"/>
      <c r="L391"/>
      <c r="M391"/>
    </row>
    <row r="392" spans="1:13">
      <c r="A392" s="94"/>
      <c r="B392" s="85"/>
      <c r="F392"/>
      <c r="J392" s="62"/>
      <c r="K392"/>
      <c r="L392"/>
      <c r="M392"/>
    </row>
    <row r="393" spans="1:13">
      <c r="A393" s="94"/>
      <c r="B393" s="85"/>
      <c r="F393"/>
      <c r="J393" s="62"/>
      <c r="K393"/>
      <c r="L393"/>
      <c r="M393"/>
    </row>
    <row r="394" spans="1:13">
      <c r="A394" s="94"/>
      <c r="B394" s="85"/>
      <c r="F394"/>
      <c r="J394" s="62"/>
      <c r="K394"/>
      <c r="L394"/>
      <c r="M394"/>
    </row>
    <row r="395" spans="1:13">
      <c r="A395" s="94"/>
      <c r="B395" s="85"/>
      <c r="F395"/>
      <c r="J395" s="62"/>
      <c r="K395"/>
      <c r="L395"/>
      <c r="M395"/>
    </row>
    <row r="396" spans="1:13">
      <c r="A396" s="94"/>
      <c r="B396" s="85"/>
      <c r="F396"/>
      <c r="J396" s="62"/>
      <c r="K396"/>
      <c r="L396"/>
      <c r="M396"/>
    </row>
    <row r="397" spans="1:13">
      <c r="A397" s="94"/>
      <c r="B397" s="85"/>
      <c r="F397"/>
      <c r="J397" s="62"/>
      <c r="K397"/>
      <c r="L397"/>
      <c r="M397"/>
    </row>
    <row r="398" spans="1:13">
      <c r="A398" s="94"/>
      <c r="B398" s="85"/>
      <c r="F398"/>
      <c r="J398" s="62"/>
      <c r="K398"/>
      <c r="L398"/>
      <c r="M398"/>
    </row>
    <row r="399" spans="1:13">
      <c r="A399" s="94"/>
      <c r="B399" s="85"/>
      <c r="F399"/>
      <c r="J399" s="62"/>
      <c r="K399"/>
      <c r="L399"/>
      <c r="M399"/>
    </row>
    <row r="400" spans="1:13">
      <c r="A400" s="94"/>
      <c r="B400" s="85"/>
      <c r="F400"/>
      <c r="J400" s="62"/>
      <c r="K400"/>
      <c r="L400"/>
      <c r="M400"/>
    </row>
    <row r="401" spans="1:13">
      <c r="A401" s="94"/>
      <c r="B401" s="85"/>
      <c r="F401"/>
      <c r="J401" s="62"/>
      <c r="K401"/>
      <c r="L401"/>
      <c r="M401"/>
    </row>
    <row r="402" spans="1:13">
      <c r="A402" s="94"/>
      <c r="B402" s="85"/>
      <c r="F402"/>
      <c r="J402" s="62"/>
      <c r="K402"/>
      <c r="L402"/>
      <c r="M402"/>
    </row>
    <row r="403" spans="1:13">
      <c r="A403" s="94"/>
      <c r="B403" s="85"/>
      <c r="F403"/>
      <c r="J403" s="62"/>
      <c r="K403"/>
      <c r="L403"/>
      <c r="M403"/>
    </row>
    <row r="404" spans="1:13">
      <c r="A404" s="94"/>
      <c r="B404" s="85"/>
      <c r="F404"/>
      <c r="J404" s="62"/>
      <c r="K404"/>
      <c r="L404"/>
      <c r="M404"/>
    </row>
    <row r="405" spans="1:13">
      <c r="A405" s="94"/>
      <c r="B405" s="85"/>
      <c r="F405"/>
      <c r="J405" s="62"/>
      <c r="K405"/>
      <c r="L405"/>
      <c r="M405"/>
    </row>
    <row r="406" spans="1:13">
      <c r="A406" s="94"/>
      <c r="B406" s="85"/>
      <c r="F406"/>
      <c r="J406" s="62"/>
      <c r="K406"/>
      <c r="L406"/>
      <c r="M406"/>
    </row>
    <row r="407" spans="1:13">
      <c r="A407" s="94"/>
      <c r="B407" s="85"/>
      <c r="F407"/>
      <c r="J407" s="62"/>
      <c r="K407"/>
      <c r="L407"/>
      <c r="M407"/>
    </row>
    <row r="408" spans="1:13">
      <c r="A408" s="94"/>
      <c r="B408" s="85"/>
      <c r="F408"/>
      <c r="J408" s="62"/>
      <c r="K408"/>
      <c r="L408"/>
      <c r="M408"/>
    </row>
    <row r="409" spans="1:13">
      <c r="A409" s="94"/>
      <c r="B409" s="85"/>
      <c r="F409"/>
      <c r="J409" s="62"/>
      <c r="K409"/>
      <c r="L409"/>
      <c r="M409"/>
    </row>
    <row r="410" spans="1:13">
      <c r="A410" s="94"/>
      <c r="B410" s="85"/>
      <c r="F410"/>
      <c r="J410" s="62"/>
      <c r="K410"/>
      <c r="L410"/>
      <c r="M410"/>
    </row>
    <row r="411" spans="1:13">
      <c r="A411" s="94"/>
      <c r="B411" s="85"/>
      <c r="F411"/>
      <c r="J411" s="62"/>
      <c r="K411"/>
      <c r="L411"/>
      <c r="M411"/>
    </row>
    <row r="412" spans="1:13">
      <c r="A412" s="94"/>
      <c r="B412" s="85"/>
      <c r="F412"/>
      <c r="J412" s="62"/>
      <c r="K412"/>
      <c r="L412"/>
      <c r="M412"/>
    </row>
    <row r="413" spans="1:13">
      <c r="A413" s="94"/>
      <c r="B413" s="85"/>
      <c r="F413"/>
      <c r="J413" s="62"/>
      <c r="K413"/>
      <c r="L413"/>
      <c r="M413"/>
    </row>
    <row r="414" spans="1:13">
      <c r="A414" s="94"/>
      <c r="B414" s="85"/>
      <c r="F414"/>
      <c r="J414" s="62"/>
      <c r="K414"/>
      <c r="L414"/>
      <c r="M414"/>
    </row>
    <row r="415" spans="1:13">
      <c r="A415" s="94"/>
      <c r="B415" s="85"/>
      <c r="F415"/>
      <c r="J415" s="62"/>
      <c r="K415"/>
      <c r="L415"/>
      <c r="M415"/>
    </row>
    <row r="416" spans="1:13">
      <c r="A416" s="94"/>
      <c r="B416" s="85"/>
      <c r="F416"/>
      <c r="J416" s="62"/>
      <c r="K416"/>
      <c r="L416"/>
      <c r="M416"/>
    </row>
    <row r="417" spans="1:13">
      <c r="A417" s="94"/>
      <c r="B417" s="85"/>
      <c r="F417"/>
      <c r="J417" s="62"/>
      <c r="K417"/>
      <c r="L417"/>
      <c r="M417"/>
    </row>
    <row r="418" spans="1:13">
      <c r="A418" s="94"/>
      <c r="B418" s="85"/>
      <c r="F418"/>
      <c r="J418" s="62"/>
      <c r="K418"/>
      <c r="L418"/>
      <c r="M418"/>
    </row>
    <row r="419" spans="1:13">
      <c r="A419" s="94"/>
      <c r="B419" s="85"/>
      <c r="F419"/>
      <c r="J419" s="62"/>
      <c r="K419"/>
      <c r="L419"/>
      <c r="M419"/>
    </row>
    <row r="420" spans="1:13">
      <c r="A420" s="94"/>
      <c r="B420" s="85"/>
      <c r="F420"/>
      <c r="J420" s="62"/>
      <c r="K420"/>
      <c r="L420"/>
      <c r="M420"/>
    </row>
    <row r="421" spans="1:13">
      <c r="A421" s="94"/>
      <c r="B421" s="85"/>
      <c r="F421"/>
      <c r="J421" s="62"/>
      <c r="K421"/>
      <c r="L421"/>
      <c r="M421"/>
    </row>
    <row r="422" spans="1:13">
      <c r="A422" s="94"/>
      <c r="B422" s="85"/>
      <c r="F422"/>
      <c r="J422" s="62"/>
      <c r="K422"/>
      <c r="L422"/>
      <c r="M422"/>
    </row>
    <row r="423" spans="1:13">
      <c r="A423" s="94"/>
      <c r="B423" s="85"/>
      <c r="F423"/>
      <c r="J423" s="62"/>
      <c r="K423"/>
      <c r="L423"/>
      <c r="M423"/>
    </row>
    <row r="424" spans="1:13">
      <c r="A424" s="94"/>
      <c r="B424" s="85"/>
      <c r="F424"/>
      <c r="J424" s="62"/>
      <c r="K424"/>
      <c r="L424"/>
      <c r="M424"/>
    </row>
    <row r="425" spans="1:13">
      <c r="A425" s="94"/>
      <c r="B425" s="85"/>
      <c r="F425"/>
      <c r="J425" s="62"/>
      <c r="K425"/>
      <c r="L425"/>
      <c r="M425"/>
    </row>
    <row r="426" spans="1:13">
      <c r="A426" s="94"/>
      <c r="B426" s="85"/>
      <c r="F426"/>
      <c r="J426" s="62"/>
      <c r="K426"/>
      <c r="L426"/>
      <c r="M426"/>
    </row>
    <row r="427" spans="1:13">
      <c r="A427" s="94"/>
      <c r="B427" s="85"/>
      <c r="F427"/>
      <c r="J427" s="62"/>
      <c r="K427"/>
      <c r="L427"/>
      <c r="M427"/>
    </row>
    <row r="428" spans="1:13">
      <c r="A428" s="94"/>
      <c r="B428" s="85"/>
      <c r="F428"/>
      <c r="J428" s="62"/>
      <c r="K428"/>
      <c r="L428"/>
      <c r="M428"/>
    </row>
    <row r="429" spans="1:13">
      <c r="A429" s="94"/>
      <c r="B429" s="85"/>
      <c r="F429"/>
      <c r="J429" s="62"/>
      <c r="K429"/>
      <c r="L429"/>
      <c r="M429"/>
    </row>
    <row r="430" spans="1:13">
      <c r="A430" s="94"/>
      <c r="B430" s="85"/>
      <c r="F430"/>
      <c r="J430" s="62"/>
      <c r="K430"/>
      <c r="L430"/>
      <c r="M430"/>
    </row>
    <row r="431" spans="1:13">
      <c r="A431" s="94"/>
      <c r="B431" s="85"/>
      <c r="F431"/>
      <c r="J431" s="62"/>
      <c r="K431"/>
      <c r="L431"/>
      <c r="M431"/>
    </row>
    <row r="432" spans="1:13">
      <c r="A432" s="94"/>
      <c r="B432" s="85"/>
      <c r="F432"/>
      <c r="J432" s="62"/>
      <c r="K432"/>
      <c r="L432"/>
      <c r="M432"/>
    </row>
    <row r="433" spans="1:13">
      <c r="A433" s="94"/>
      <c r="B433" s="85"/>
      <c r="F433"/>
      <c r="J433" s="62"/>
      <c r="K433"/>
      <c r="L433"/>
      <c r="M433"/>
    </row>
    <row r="434" spans="1:13">
      <c r="A434" s="94"/>
      <c r="B434" s="85"/>
      <c r="F434"/>
      <c r="J434" s="62"/>
      <c r="K434"/>
      <c r="L434"/>
      <c r="M434"/>
    </row>
    <row r="435" spans="1:13">
      <c r="A435" s="94"/>
      <c r="B435" s="85"/>
      <c r="F435"/>
      <c r="J435" s="62"/>
      <c r="K435"/>
      <c r="L435"/>
      <c r="M435"/>
    </row>
    <row r="436" spans="1:13">
      <c r="A436" s="94"/>
      <c r="B436" s="85"/>
      <c r="F436"/>
      <c r="J436" s="62"/>
      <c r="K436"/>
      <c r="L436"/>
      <c r="M436"/>
    </row>
    <row r="437" spans="1:13">
      <c r="A437" s="94"/>
      <c r="B437" s="85"/>
      <c r="F437"/>
      <c r="J437" s="62"/>
      <c r="K437"/>
      <c r="L437"/>
      <c r="M437"/>
    </row>
    <row r="438" spans="1:13">
      <c r="A438" s="94"/>
      <c r="B438" s="85"/>
      <c r="F438"/>
      <c r="J438" s="62"/>
      <c r="K438"/>
      <c r="L438"/>
      <c r="M438"/>
    </row>
    <row r="439" spans="1:13">
      <c r="A439" s="94"/>
      <c r="B439" s="85"/>
      <c r="F439"/>
      <c r="J439" s="62"/>
      <c r="K439"/>
      <c r="L439"/>
      <c r="M439"/>
    </row>
    <row r="440" spans="1:13">
      <c r="A440" s="94"/>
      <c r="B440" s="85"/>
      <c r="F440"/>
      <c r="J440" s="62"/>
      <c r="K440"/>
      <c r="L440"/>
      <c r="M440"/>
    </row>
    <row r="441" spans="1:13">
      <c r="A441" s="94"/>
      <c r="B441" s="85"/>
      <c r="F441"/>
      <c r="J441" s="62"/>
      <c r="K441"/>
      <c r="L441"/>
      <c r="M441"/>
    </row>
    <row r="442" spans="1:13">
      <c r="A442" s="94"/>
      <c r="B442" s="85"/>
      <c r="F442"/>
      <c r="J442" s="62"/>
      <c r="K442"/>
      <c r="L442"/>
      <c r="M442"/>
    </row>
    <row r="443" spans="1:13">
      <c r="A443" s="94"/>
      <c r="B443" s="85"/>
      <c r="F443"/>
      <c r="J443" s="62"/>
      <c r="K443"/>
      <c r="L443"/>
      <c r="M443"/>
    </row>
    <row r="444" spans="1:13">
      <c r="A444" s="94"/>
      <c r="B444" s="85"/>
      <c r="F444"/>
      <c r="J444" s="62"/>
      <c r="K444"/>
      <c r="L444"/>
      <c r="M444"/>
    </row>
    <row r="445" spans="1:13">
      <c r="A445" s="94"/>
      <c r="B445" s="85"/>
      <c r="F445"/>
      <c r="J445" s="62"/>
      <c r="K445"/>
      <c r="L445"/>
      <c r="M445"/>
    </row>
    <row r="446" spans="1:13">
      <c r="A446" s="94"/>
      <c r="B446" s="85"/>
      <c r="F446"/>
      <c r="J446" s="62"/>
      <c r="K446"/>
      <c r="L446"/>
      <c r="M446"/>
    </row>
    <row r="447" spans="1:13">
      <c r="A447" s="94"/>
      <c r="B447" s="85"/>
      <c r="F447"/>
      <c r="J447" s="62"/>
      <c r="K447"/>
      <c r="L447"/>
      <c r="M447"/>
    </row>
    <row r="448" spans="1:13">
      <c r="A448" s="94"/>
      <c r="B448" s="85"/>
      <c r="F448"/>
      <c r="J448" s="62"/>
      <c r="K448"/>
      <c r="L448"/>
      <c r="M448"/>
    </row>
    <row r="449" spans="1:13">
      <c r="A449" s="94"/>
      <c r="B449" s="85"/>
      <c r="F449"/>
      <c r="J449" s="62"/>
      <c r="K449"/>
      <c r="L449"/>
      <c r="M449"/>
    </row>
    <row r="450" spans="1:13">
      <c r="A450" s="94"/>
      <c r="B450" s="85"/>
      <c r="F450"/>
      <c r="J450" s="62"/>
      <c r="K450"/>
      <c r="L450"/>
      <c r="M450"/>
    </row>
    <row r="451" spans="1:13">
      <c r="A451" s="94"/>
      <c r="B451" s="85"/>
      <c r="F451"/>
      <c r="J451" s="62"/>
      <c r="K451"/>
      <c r="L451"/>
      <c r="M451"/>
    </row>
    <row r="452" spans="1:13">
      <c r="A452" s="94"/>
      <c r="B452" s="85"/>
      <c r="F452"/>
      <c r="J452" s="62"/>
      <c r="K452"/>
      <c r="L452"/>
      <c r="M452"/>
    </row>
    <row r="453" spans="1:13">
      <c r="A453" s="94"/>
      <c r="B453" s="85"/>
      <c r="F453"/>
      <c r="J453" s="62"/>
      <c r="K453"/>
      <c r="L453"/>
      <c r="M453"/>
    </row>
    <row r="454" spans="1:13">
      <c r="A454" s="94"/>
      <c r="B454" s="85"/>
      <c r="F454"/>
      <c r="J454" s="62"/>
      <c r="K454"/>
      <c r="L454"/>
      <c r="M454"/>
    </row>
    <row r="455" spans="1:13">
      <c r="A455" s="94"/>
      <c r="B455" s="85"/>
      <c r="F455"/>
      <c r="J455" s="62"/>
      <c r="K455"/>
      <c r="L455"/>
      <c r="M455"/>
    </row>
    <row r="456" spans="1:13">
      <c r="A456" s="94"/>
      <c r="B456" s="85"/>
      <c r="F456"/>
      <c r="J456" s="62"/>
      <c r="K456"/>
      <c r="L456"/>
      <c r="M456"/>
    </row>
    <row r="457" spans="1:13">
      <c r="A457" s="94"/>
      <c r="B457" s="85"/>
      <c r="F457"/>
      <c r="J457" s="62"/>
      <c r="K457"/>
      <c r="L457"/>
      <c r="M457"/>
    </row>
    <row r="458" spans="1:13">
      <c r="A458" s="94"/>
      <c r="B458" s="85"/>
      <c r="F458"/>
      <c r="J458" s="62"/>
      <c r="K458"/>
      <c r="L458"/>
      <c r="M458"/>
    </row>
    <row r="459" spans="1:13">
      <c r="A459" s="94"/>
      <c r="B459" s="85"/>
      <c r="F459"/>
      <c r="J459" s="62"/>
      <c r="K459"/>
      <c r="L459"/>
      <c r="M459"/>
    </row>
    <row r="460" spans="1:13">
      <c r="A460" s="94"/>
      <c r="B460" s="85"/>
      <c r="F460"/>
      <c r="J460" s="62"/>
      <c r="K460"/>
      <c r="L460"/>
      <c r="M460"/>
    </row>
    <row r="461" spans="1:13">
      <c r="A461" s="94"/>
      <c r="B461" s="85"/>
      <c r="F461"/>
      <c r="J461" s="62"/>
      <c r="K461"/>
      <c r="L461"/>
      <c r="M461"/>
    </row>
    <row r="462" spans="1:13">
      <c r="A462" s="94"/>
      <c r="B462" s="85"/>
      <c r="F462"/>
      <c r="J462" s="62"/>
      <c r="K462"/>
      <c r="L462"/>
      <c r="M462"/>
    </row>
    <row r="463" spans="1:13">
      <c r="A463" s="94"/>
      <c r="B463" s="85"/>
      <c r="F463"/>
      <c r="J463" s="62"/>
      <c r="K463"/>
      <c r="L463"/>
      <c r="M463"/>
    </row>
    <row r="464" spans="1:13">
      <c r="A464" s="94"/>
      <c r="B464" s="85"/>
      <c r="F464"/>
      <c r="J464" s="62"/>
      <c r="K464"/>
      <c r="L464"/>
      <c r="M464"/>
    </row>
    <row r="465" spans="1:13">
      <c r="A465" s="94"/>
      <c r="B465" s="85"/>
      <c r="F465"/>
      <c r="J465" s="62"/>
      <c r="K465"/>
      <c r="L465"/>
      <c r="M465"/>
    </row>
    <row r="466" spans="1:13">
      <c r="A466" s="94"/>
      <c r="B466" s="85"/>
      <c r="F466"/>
      <c r="J466" s="62"/>
      <c r="K466"/>
      <c r="L466"/>
      <c r="M466"/>
    </row>
    <row r="467" spans="1:13">
      <c r="A467" s="94"/>
      <c r="B467" s="85"/>
      <c r="F467"/>
      <c r="J467" s="62"/>
      <c r="K467"/>
      <c r="L467"/>
      <c r="M467"/>
    </row>
    <row r="468" spans="1:13">
      <c r="A468" s="94"/>
      <c r="B468" s="85"/>
      <c r="F468"/>
      <c r="J468" s="62"/>
      <c r="K468"/>
      <c r="L468"/>
      <c r="M468"/>
    </row>
    <row r="469" spans="1:13">
      <c r="A469" s="94"/>
      <c r="B469" s="85"/>
      <c r="F469"/>
      <c r="J469" s="62"/>
      <c r="K469"/>
      <c r="L469"/>
      <c r="M469"/>
    </row>
    <row r="470" spans="1:13">
      <c r="A470" s="94"/>
      <c r="B470" s="85"/>
      <c r="F470"/>
      <c r="J470" s="62"/>
      <c r="K470"/>
      <c r="L470"/>
      <c r="M470"/>
    </row>
    <row r="471" spans="1:13">
      <c r="A471" s="94"/>
      <c r="B471" s="85"/>
      <c r="F471"/>
      <c r="J471" s="62"/>
      <c r="K471"/>
      <c r="L471"/>
      <c r="M471"/>
    </row>
    <row r="472" spans="1:13">
      <c r="A472" s="94"/>
      <c r="B472" s="85"/>
      <c r="F472"/>
      <c r="J472" s="62"/>
      <c r="K472"/>
      <c r="L472"/>
      <c r="M472"/>
    </row>
    <row r="473" spans="1:13">
      <c r="A473" s="94"/>
      <c r="B473" s="85"/>
      <c r="F473"/>
      <c r="J473" s="62"/>
      <c r="K473"/>
      <c r="L473"/>
      <c r="M473"/>
    </row>
    <row r="474" spans="1:13">
      <c r="A474" s="94"/>
      <c r="B474" s="85"/>
      <c r="F474"/>
      <c r="J474" s="62"/>
      <c r="K474"/>
      <c r="L474"/>
      <c r="M474"/>
    </row>
    <row r="475" spans="1:13">
      <c r="A475" s="94"/>
      <c r="B475" s="85"/>
      <c r="F475"/>
      <c r="J475" s="62"/>
      <c r="K475"/>
      <c r="L475"/>
      <c r="M475"/>
    </row>
    <row r="476" spans="1:13">
      <c r="A476" s="94"/>
      <c r="B476" s="85"/>
      <c r="F476"/>
      <c r="J476" s="62"/>
      <c r="K476"/>
      <c r="L476"/>
      <c r="M476"/>
    </row>
    <row r="477" spans="1:13">
      <c r="A477" s="94"/>
      <c r="B477" s="85"/>
      <c r="F477"/>
      <c r="J477" s="62"/>
      <c r="K477"/>
      <c r="L477"/>
      <c r="M477"/>
    </row>
    <row r="478" spans="1:13">
      <c r="A478" s="94"/>
      <c r="B478" s="85"/>
      <c r="F478"/>
      <c r="J478" s="62"/>
      <c r="K478"/>
      <c r="L478"/>
      <c r="M478"/>
    </row>
    <row r="479" spans="1:13">
      <c r="A479" s="94"/>
      <c r="B479" s="85"/>
      <c r="F479"/>
      <c r="J479" s="62"/>
      <c r="K479"/>
      <c r="L479"/>
      <c r="M479"/>
    </row>
    <row r="480" spans="1:13">
      <c r="A480" s="94"/>
      <c r="B480" s="85"/>
      <c r="F480"/>
      <c r="J480" s="62"/>
      <c r="K480"/>
      <c r="L480"/>
      <c r="M480"/>
    </row>
    <row r="481" spans="1:13">
      <c r="A481" s="94"/>
      <c r="B481" s="85"/>
      <c r="F481"/>
      <c r="J481" s="62"/>
      <c r="K481"/>
      <c r="L481"/>
      <c r="M481"/>
    </row>
    <row r="482" spans="1:13">
      <c r="A482" s="94"/>
      <c r="B482" s="85"/>
      <c r="F482"/>
      <c r="J482" s="62"/>
      <c r="K482"/>
      <c r="L482"/>
      <c r="M482"/>
    </row>
    <row r="483" spans="1:13">
      <c r="A483" s="94"/>
      <c r="B483" s="85"/>
      <c r="F483"/>
      <c r="J483" s="62"/>
      <c r="K483"/>
      <c r="L483"/>
      <c r="M483"/>
    </row>
    <row r="484" spans="1:13">
      <c r="A484" s="94"/>
      <c r="B484" s="85"/>
      <c r="F484"/>
      <c r="J484" s="62"/>
      <c r="K484"/>
      <c r="L484"/>
      <c r="M484"/>
    </row>
    <row r="485" spans="1:13">
      <c r="A485" s="94"/>
      <c r="B485" s="85"/>
      <c r="F485"/>
      <c r="J485" s="62"/>
      <c r="K485"/>
      <c r="L485"/>
      <c r="M485"/>
    </row>
    <row r="486" spans="1:13">
      <c r="A486" s="94"/>
      <c r="B486" s="85"/>
      <c r="F486"/>
      <c r="J486" s="62"/>
      <c r="K486"/>
      <c r="L486"/>
      <c r="M486"/>
    </row>
    <row r="487" spans="1:13">
      <c r="A487" s="94"/>
      <c r="B487" s="85"/>
      <c r="F487"/>
      <c r="J487" s="62"/>
      <c r="K487"/>
      <c r="L487"/>
      <c r="M487"/>
    </row>
    <row r="488" spans="1:13">
      <c r="A488" s="94"/>
      <c r="B488" s="85"/>
      <c r="F488"/>
      <c r="J488" s="62"/>
      <c r="K488"/>
      <c r="L488"/>
      <c r="M488"/>
    </row>
    <row r="489" spans="1:13">
      <c r="A489" s="94"/>
      <c r="B489" s="85"/>
      <c r="F489"/>
      <c r="J489" s="62"/>
      <c r="K489"/>
      <c r="L489"/>
      <c r="M489"/>
    </row>
    <row r="490" spans="1:13">
      <c r="A490" s="94"/>
      <c r="B490" s="85"/>
      <c r="F490"/>
      <c r="J490" s="62"/>
      <c r="K490"/>
      <c r="L490"/>
      <c r="M490"/>
    </row>
    <row r="491" spans="1:13">
      <c r="A491" s="94"/>
      <c r="B491" s="85"/>
      <c r="F491"/>
      <c r="J491" s="62"/>
      <c r="K491"/>
      <c r="L491"/>
      <c r="M491"/>
    </row>
    <row r="492" spans="1:13">
      <c r="A492" s="94"/>
      <c r="B492" s="85"/>
      <c r="F492"/>
      <c r="J492" s="62"/>
      <c r="K492"/>
      <c r="L492"/>
      <c r="M492"/>
    </row>
    <row r="493" spans="1:13">
      <c r="A493" s="94"/>
      <c r="B493" s="85"/>
      <c r="F493"/>
      <c r="J493" s="62"/>
      <c r="K493"/>
      <c r="L493"/>
      <c r="M493"/>
    </row>
    <row r="494" spans="1:13">
      <c r="A494" s="94"/>
      <c r="B494" s="85"/>
      <c r="F494"/>
      <c r="J494" s="62"/>
      <c r="K494"/>
      <c r="L494"/>
      <c r="M494"/>
    </row>
    <row r="495" spans="1:13">
      <c r="A495" s="94"/>
      <c r="B495" s="85"/>
      <c r="F495"/>
      <c r="J495" s="62"/>
      <c r="K495"/>
      <c r="L495"/>
      <c r="M495"/>
    </row>
    <row r="496" spans="1:13">
      <c r="A496" s="94"/>
      <c r="B496" s="85"/>
      <c r="F496"/>
      <c r="J496" s="62"/>
      <c r="K496"/>
      <c r="L496"/>
      <c r="M496"/>
    </row>
    <row r="497" spans="1:13">
      <c r="A497" s="94"/>
      <c r="B497" s="85"/>
      <c r="F497"/>
      <c r="J497" s="62"/>
      <c r="K497"/>
      <c r="L497"/>
      <c r="M497"/>
    </row>
    <row r="498" spans="1:13">
      <c r="A498" s="94"/>
      <c r="B498" s="85"/>
      <c r="F498"/>
      <c r="J498" s="62"/>
      <c r="K498"/>
      <c r="L498"/>
      <c r="M498"/>
    </row>
    <row r="499" spans="1:13">
      <c r="A499" s="94"/>
      <c r="B499" s="85"/>
      <c r="F499"/>
      <c r="J499" s="62"/>
      <c r="K499"/>
      <c r="L499"/>
      <c r="M499"/>
    </row>
    <row r="500" spans="1:13">
      <c r="A500" s="94"/>
      <c r="B500" s="85"/>
      <c r="F500"/>
      <c r="J500" s="62"/>
      <c r="K500"/>
      <c r="L500"/>
      <c r="M500"/>
    </row>
    <row r="501" spans="1:13">
      <c r="A501" s="94"/>
      <c r="B501" s="85"/>
      <c r="F501"/>
      <c r="J501" s="62"/>
      <c r="K501"/>
      <c r="L501"/>
      <c r="M501"/>
    </row>
    <row r="502" spans="1:13">
      <c r="A502" s="94"/>
      <c r="B502" s="85"/>
      <c r="F502"/>
      <c r="J502" s="62"/>
      <c r="K502"/>
      <c r="L502"/>
      <c r="M502"/>
    </row>
    <row r="503" spans="1:13">
      <c r="A503" s="94"/>
      <c r="B503" s="85"/>
      <c r="F503"/>
      <c r="J503" s="62"/>
      <c r="K503"/>
      <c r="L503"/>
      <c r="M503"/>
    </row>
    <row r="504" spans="1:13">
      <c r="A504" s="94"/>
      <c r="B504" s="85"/>
      <c r="F504"/>
      <c r="J504" s="62"/>
      <c r="K504"/>
      <c r="L504"/>
      <c r="M504"/>
    </row>
    <row r="505" spans="1:13">
      <c r="A505" s="94"/>
      <c r="B505" s="85"/>
      <c r="F505"/>
      <c r="J505" s="62"/>
      <c r="K505"/>
      <c r="L505"/>
      <c r="M505"/>
    </row>
    <row r="506" spans="1:13">
      <c r="A506" s="94"/>
      <c r="B506" s="85"/>
      <c r="F506"/>
      <c r="J506" s="62"/>
      <c r="K506"/>
      <c r="L506"/>
      <c r="M506"/>
    </row>
    <row r="507" spans="1:13">
      <c r="A507" s="94"/>
      <c r="B507" s="85"/>
      <c r="F507"/>
      <c r="J507" s="62"/>
      <c r="K507"/>
      <c r="L507"/>
      <c r="M507"/>
    </row>
    <row r="508" spans="1:13">
      <c r="A508" s="94"/>
      <c r="B508" s="85"/>
      <c r="F508"/>
      <c r="J508" s="62"/>
      <c r="K508"/>
      <c r="L508"/>
      <c r="M508"/>
    </row>
    <row r="509" spans="1:13">
      <c r="A509" s="94"/>
      <c r="B509" s="85"/>
      <c r="F509"/>
      <c r="J509" s="62"/>
      <c r="K509"/>
      <c r="L509"/>
      <c r="M509"/>
    </row>
    <row r="510" spans="1:13">
      <c r="A510" s="94"/>
      <c r="B510" s="85"/>
      <c r="F510"/>
      <c r="J510" s="62"/>
      <c r="K510"/>
      <c r="L510"/>
      <c r="M510"/>
    </row>
    <row r="511" spans="1:13">
      <c r="A511" s="94"/>
      <c r="B511" s="85"/>
      <c r="F511"/>
      <c r="J511" s="62"/>
      <c r="K511"/>
      <c r="L511"/>
      <c r="M511"/>
    </row>
    <row r="512" spans="1:13">
      <c r="A512" s="94"/>
      <c r="B512" s="85"/>
      <c r="F512"/>
      <c r="J512" s="62"/>
      <c r="K512"/>
      <c r="L512"/>
      <c r="M512"/>
    </row>
    <row r="513" spans="1:13">
      <c r="A513" s="94"/>
      <c r="B513" s="85"/>
      <c r="F513"/>
      <c r="J513" s="62"/>
      <c r="K513"/>
      <c r="L513"/>
      <c r="M513"/>
    </row>
    <row r="514" spans="1:13">
      <c r="A514" s="94"/>
      <c r="B514" s="85"/>
      <c r="F514"/>
      <c r="J514" s="62"/>
      <c r="K514"/>
      <c r="L514"/>
      <c r="M514"/>
    </row>
    <row r="515" spans="1:13">
      <c r="A515" s="94"/>
      <c r="B515" s="85"/>
      <c r="F515"/>
      <c r="J515" s="62"/>
      <c r="K515"/>
      <c r="L515"/>
      <c r="M515"/>
    </row>
    <row r="516" spans="1:13">
      <c r="A516" s="94"/>
      <c r="B516" s="85"/>
      <c r="F516"/>
      <c r="J516" s="62"/>
      <c r="K516"/>
      <c r="L516"/>
      <c r="M516"/>
    </row>
    <row r="517" spans="1:13">
      <c r="A517" s="94"/>
      <c r="B517" s="85"/>
      <c r="F517"/>
      <c r="J517" s="62"/>
      <c r="K517"/>
      <c r="L517"/>
      <c r="M517"/>
    </row>
    <row r="518" spans="1:13">
      <c r="A518" s="94"/>
      <c r="B518" s="85"/>
      <c r="F518"/>
      <c r="J518" s="62"/>
      <c r="K518"/>
      <c r="L518"/>
      <c r="M518"/>
    </row>
    <row r="519" spans="1:13">
      <c r="A519" s="94"/>
      <c r="B519" s="85"/>
      <c r="F519"/>
      <c r="J519" s="62"/>
      <c r="K519"/>
      <c r="L519"/>
      <c r="M519"/>
    </row>
    <row r="520" spans="1:13">
      <c r="A520" s="94"/>
      <c r="B520" s="85"/>
      <c r="F520"/>
      <c r="J520" s="62"/>
      <c r="K520"/>
      <c r="L520"/>
      <c r="M520"/>
    </row>
    <row r="521" spans="1:13">
      <c r="A521" s="94"/>
      <c r="B521" s="85"/>
      <c r="F521"/>
      <c r="J521" s="62"/>
      <c r="K521"/>
      <c r="L521"/>
      <c r="M521"/>
    </row>
    <row r="522" spans="1:13">
      <c r="A522" s="94"/>
      <c r="B522" s="85"/>
      <c r="F522"/>
      <c r="J522" s="62"/>
      <c r="K522"/>
      <c r="L522"/>
      <c r="M522"/>
    </row>
    <row r="523" spans="1:13">
      <c r="A523" s="94"/>
      <c r="B523" s="85"/>
      <c r="F523"/>
      <c r="J523" s="62"/>
      <c r="K523"/>
      <c r="L523"/>
      <c r="M523"/>
    </row>
    <row r="524" spans="1:13">
      <c r="A524" s="94"/>
      <c r="B524" s="85"/>
      <c r="F524"/>
      <c r="J524" s="62"/>
      <c r="K524"/>
      <c r="L524"/>
      <c r="M524"/>
    </row>
    <row r="525" spans="1:13">
      <c r="A525" s="94"/>
      <c r="B525" s="85"/>
      <c r="F525"/>
      <c r="J525" s="62"/>
      <c r="K525"/>
      <c r="L525"/>
      <c r="M525"/>
    </row>
    <row r="526" spans="1:13">
      <c r="A526" s="94"/>
      <c r="B526" s="85"/>
      <c r="F526"/>
      <c r="J526" s="62"/>
      <c r="K526"/>
      <c r="L526"/>
      <c r="M526"/>
    </row>
    <row r="527" spans="1:13">
      <c r="A527" s="94"/>
      <c r="B527" s="85"/>
      <c r="F527"/>
      <c r="J527" s="62"/>
      <c r="K527"/>
      <c r="L527"/>
      <c r="M527"/>
    </row>
    <row r="528" spans="1:13">
      <c r="A528" s="94"/>
      <c r="B528" s="85"/>
      <c r="F528"/>
      <c r="J528" s="62"/>
      <c r="K528"/>
      <c r="L528"/>
      <c r="M528"/>
    </row>
    <row r="529" spans="1:13">
      <c r="A529" s="94"/>
      <c r="B529" s="85"/>
      <c r="F529"/>
      <c r="J529" s="62"/>
      <c r="K529"/>
      <c r="L529"/>
      <c r="M529"/>
    </row>
    <row r="530" spans="1:13">
      <c r="A530" s="94"/>
      <c r="B530" s="85"/>
      <c r="F530"/>
      <c r="J530" s="62"/>
      <c r="K530"/>
      <c r="L530"/>
      <c r="M530"/>
    </row>
    <row r="531" spans="1:13">
      <c r="A531" s="94"/>
      <c r="B531" s="85"/>
      <c r="F531"/>
      <c r="J531" s="62"/>
      <c r="K531"/>
      <c r="L531"/>
      <c r="M531"/>
    </row>
    <row r="532" spans="1:13">
      <c r="A532" s="94"/>
      <c r="B532" s="85"/>
      <c r="F532"/>
      <c r="J532" s="62"/>
      <c r="K532"/>
      <c r="L532"/>
      <c r="M532"/>
    </row>
    <row r="533" spans="1:13">
      <c r="A533" s="94"/>
      <c r="B533" s="85"/>
      <c r="F533"/>
      <c r="J533" s="62"/>
      <c r="K533"/>
      <c r="L533"/>
      <c r="M533"/>
    </row>
    <row r="534" spans="1:13">
      <c r="A534" s="94"/>
      <c r="B534" s="85"/>
      <c r="F534"/>
      <c r="J534" s="62"/>
      <c r="K534"/>
      <c r="L534"/>
      <c r="M534"/>
    </row>
    <row r="535" spans="1:13">
      <c r="A535" s="94"/>
      <c r="B535" s="85"/>
      <c r="F535"/>
      <c r="J535" s="62"/>
      <c r="K535"/>
      <c r="L535"/>
      <c r="M535"/>
    </row>
    <row r="536" spans="1:13">
      <c r="A536" s="94"/>
      <c r="B536" s="85"/>
      <c r="F536"/>
      <c r="J536" s="62"/>
      <c r="K536"/>
      <c r="L536"/>
      <c r="M536"/>
    </row>
    <row r="537" spans="1:13">
      <c r="A537" s="94"/>
      <c r="B537" s="85"/>
      <c r="F537"/>
      <c r="J537" s="62"/>
      <c r="K537"/>
      <c r="L537"/>
      <c r="M537"/>
    </row>
    <row r="538" spans="1:13">
      <c r="A538" s="94"/>
      <c r="B538" s="85"/>
      <c r="F538"/>
      <c r="J538" s="62"/>
      <c r="K538"/>
      <c r="L538"/>
      <c r="M538"/>
    </row>
    <row r="539" spans="1:13">
      <c r="A539" s="94"/>
      <c r="B539" s="85"/>
      <c r="F539"/>
      <c r="J539" s="62"/>
      <c r="K539"/>
      <c r="L539"/>
      <c r="M539"/>
    </row>
    <row r="540" spans="1:13">
      <c r="A540" s="94"/>
      <c r="B540" s="85"/>
      <c r="F540"/>
      <c r="J540" s="62"/>
      <c r="K540"/>
      <c r="L540"/>
      <c r="M540"/>
    </row>
    <row r="541" spans="1:13">
      <c r="A541" s="94"/>
      <c r="B541" s="85"/>
      <c r="F541"/>
      <c r="J541" s="62"/>
      <c r="K541"/>
      <c r="L541"/>
      <c r="M541"/>
    </row>
    <row r="542" spans="1:13">
      <c r="A542" s="94"/>
      <c r="B542" s="85"/>
      <c r="F542"/>
      <c r="J542" s="62"/>
      <c r="K542"/>
      <c r="L542"/>
      <c r="M542"/>
    </row>
    <row r="543" spans="1:13">
      <c r="A543" s="94"/>
      <c r="B543" s="85"/>
      <c r="F543"/>
      <c r="J543" s="62"/>
      <c r="K543"/>
      <c r="L543"/>
      <c r="M543"/>
    </row>
    <row r="544" spans="1:13">
      <c r="A544" s="94"/>
      <c r="B544" s="85"/>
      <c r="F544"/>
      <c r="J544" s="62"/>
      <c r="K544"/>
      <c r="L544"/>
      <c r="M544"/>
    </row>
    <row r="545" spans="1:13">
      <c r="A545" s="94"/>
      <c r="B545" s="85"/>
      <c r="F545"/>
      <c r="J545" s="62"/>
      <c r="K545"/>
      <c r="L545"/>
      <c r="M545"/>
    </row>
    <row r="546" spans="1:13">
      <c r="A546" s="94"/>
      <c r="B546" s="85"/>
      <c r="F546"/>
      <c r="J546" s="62"/>
      <c r="K546"/>
      <c r="L546"/>
      <c r="M546"/>
    </row>
    <row r="547" spans="1:13">
      <c r="A547" s="94"/>
      <c r="B547" s="85"/>
      <c r="F547"/>
      <c r="J547" s="62"/>
      <c r="K547"/>
      <c r="L547"/>
      <c r="M547"/>
    </row>
    <row r="548" spans="1:13">
      <c r="A548" s="94"/>
      <c r="B548" s="85"/>
      <c r="F548"/>
      <c r="J548" s="62"/>
      <c r="K548"/>
      <c r="L548"/>
      <c r="M548"/>
    </row>
    <row r="549" spans="1:13">
      <c r="A549" s="94"/>
      <c r="B549" s="85"/>
      <c r="F549"/>
      <c r="J549" s="62"/>
      <c r="K549"/>
      <c r="L549"/>
      <c r="M549"/>
    </row>
    <row r="550" spans="1:13">
      <c r="A550" s="94"/>
      <c r="B550" s="85"/>
      <c r="F550"/>
      <c r="J550" s="62"/>
      <c r="K550"/>
      <c r="L550"/>
      <c r="M550"/>
    </row>
    <row r="551" spans="1:13">
      <c r="A551" s="94"/>
      <c r="B551" s="85"/>
      <c r="F551"/>
      <c r="J551" s="62"/>
      <c r="K551"/>
      <c r="L551"/>
      <c r="M551"/>
    </row>
    <row r="552" spans="1:13">
      <c r="A552" s="94"/>
      <c r="B552" s="85"/>
      <c r="F552"/>
      <c r="J552" s="62"/>
      <c r="K552"/>
      <c r="L552"/>
      <c r="M552"/>
    </row>
    <row r="553" spans="1:13">
      <c r="A553" s="94"/>
      <c r="B553" s="85"/>
      <c r="F553"/>
      <c r="J553" s="62"/>
      <c r="K553"/>
      <c r="L553"/>
      <c r="M553"/>
    </row>
    <row r="554" spans="1:13">
      <c r="A554" s="94"/>
      <c r="B554" s="85"/>
      <c r="F554"/>
      <c r="J554" s="62"/>
      <c r="K554"/>
      <c r="L554"/>
      <c r="M554"/>
    </row>
    <row r="555" spans="1:13">
      <c r="A555" s="94"/>
      <c r="B555" s="85"/>
      <c r="F555"/>
      <c r="J555" s="62"/>
      <c r="K555"/>
      <c r="L555"/>
      <c r="M555"/>
    </row>
    <row r="556" spans="1:13">
      <c r="A556" s="94"/>
      <c r="B556" s="85"/>
      <c r="F556"/>
      <c r="J556" s="62"/>
      <c r="K556"/>
      <c r="L556"/>
      <c r="M556"/>
    </row>
    <row r="557" spans="1:13">
      <c r="A557" s="94"/>
      <c r="B557" s="85"/>
      <c r="F557"/>
      <c r="J557" s="62"/>
      <c r="K557"/>
      <c r="L557"/>
      <c r="M557"/>
    </row>
    <row r="558" spans="1:13">
      <c r="A558" s="94"/>
      <c r="B558" s="85"/>
      <c r="F558"/>
      <c r="J558" s="62"/>
      <c r="K558"/>
      <c r="L558"/>
      <c r="M558"/>
    </row>
    <row r="559" spans="1:13">
      <c r="A559" s="94"/>
      <c r="B559" s="85"/>
      <c r="F559"/>
      <c r="J559" s="62"/>
      <c r="K559"/>
      <c r="L559"/>
      <c r="M559"/>
    </row>
    <row r="560" spans="1:13">
      <c r="A560" s="94"/>
      <c r="B560" s="85"/>
      <c r="F560"/>
      <c r="J560" s="62"/>
      <c r="K560"/>
      <c r="L560"/>
      <c r="M560"/>
    </row>
    <row r="561" spans="1:13">
      <c r="A561" s="94"/>
      <c r="B561" s="85"/>
      <c r="F561"/>
      <c r="J561" s="62"/>
      <c r="K561"/>
      <c r="L561"/>
      <c r="M561"/>
    </row>
    <row r="562" spans="1:13">
      <c r="A562" s="94"/>
      <c r="B562" s="85"/>
      <c r="F562"/>
      <c r="J562" s="62"/>
      <c r="K562"/>
      <c r="L562"/>
      <c r="M562"/>
    </row>
    <row r="563" spans="1:13">
      <c r="A563" s="94"/>
      <c r="B563" s="85"/>
      <c r="F563"/>
      <c r="J563" s="62"/>
      <c r="K563"/>
      <c r="L563"/>
      <c r="M563"/>
    </row>
    <row r="564" spans="1:13">
      <c r="A564" s="94"/>
      <c r="B564" s="85"/>
      <c r="F564"/>
      <c r="J564" s="62"/>
      <c r="K564"/>
      <c r="L564"/>
      <c r="M564"/>
    </row>
    <row r="565" spans="1:13">
      <c r="A565" s="94"/>
      <c r="B565" s="85"/>
      <c r="F565"/>
      <c r="J565" s="62"/>
      <c r="K565"/>
      <c r="L565"/>
      <c r="M565"/>
    </row>
    <row r="566" spans="1:13">
      <c r="A566" s="94"/>
      <c r="B566" s="85"/>
      <c r="F566"/>
      <c r="J566" s="62"/>
      <c r="K566"/>
      <c r="L566"/>
      <c r="M566"/>
    </row>
    <row r="567" spans="1:13">
      <c r="A567" s="94"/>
      <c r="B567" s="85"/>
      <c r="F567"/>
      <c r="J567" s="62"/>
      <c r="K567"/>
      <c r="L567"/>
      <c r="M567"/>
    </row>
    <row r="568" spans="1:13">
      <c r="A568" s="94"/>
      <c r="B568" s="85"/>
      <c r="F568"/>
      <c r="J568" s="62"/>
      <c r="K568"/>
      <c r="L568"/>
      <c r="M568"/>
    </row>
    <row r="569" spans="1:13">
      <c r="A569" s="94"/>
      <c r="B569" s="85"/>
      <c r="F569"/>
      <c r="J569" s="62"/>
      <c r="K569"/>
      <c r="L569"/>
      <c r="M569"/>
    </row>
    <row r="570" spans="1:13">
      <c r="A570" s="94"/>
      <c r="B570" s="85"/>
      <c r="F570"/>
      <c r="J570" s="62"/>
      <c r="K570"/>
      <c r="L570"/>
      <c r="M570"/>
    </row>
    <row r="571" spans="1:13">
      <c r="A571" s="94"/>
      <c r="B571" s="85"/>
      <c r="F571"/>
      <c r="J571" s="62"/>
      <c r="K571"/>
      <c r="L571"/>
      <c r="M571"/>
    </row>
    <row r="572" spans="1:13">
      <c r="A572" s="94"/>
      <c r="B572" s="85"/>
      <c r="F572"/>
      <c r="J572" s="62"/>
      <c r="K572"/>
      <c r="L572"/>
      <c r="M572"/>
    </row>
    <row r="573" spans="1:13">
      <c r="A573" s="94"/>
      <c r="B573" s="85"/>
      <c r="F573"/>
      <c r="J573" s="62"/>
      <c r="K573"/>
      <c r="L573"/>
      <c r="M573"/>
    </row>
    <row r="574" spans="1:13">
      <c r="A574" s="94"/>
      <c r="B574" s="85"/>
      <c r="F574"/>
      <c r="J574" s="62"/>
      <c r="K574"/>
      <c r="L574"/>
      <c r="M574"/>
    </row>
    <row r="575" spans="1:13">
      <c r="A575" s="94"/>
      <c r="B575" s="85"/>
      <c r="F575"/>
      <c r="J575" s="62"/>
      <c r="K575"/>
      <c r="L575"/>
      <c r="M575"/>
    </row>
    <row r="576" spans="1:13">
      <c r="A576" s="94"/>
      <c r="B576" s="85"/>
      <c r="F576"/>
      <c r="J576" s="62"/>
      <c r="K576"/>
      <c r="L576"/>
      <c r="M576"/>
    </row>
    <row r="577" spans="1:13">
      <c r="A577" s="94"/>
      <c r="B577" s="85"/>
      <c r="F577"/>
      <c r="J577" s="62"/>
      <c r="K577"/>
      <c r="L577"/>
      <c r="M577"/>
    </row>
    <row r="578" spans="1:13">
      <c r="A578" s="94"/>
      <c r="B578" s="85"/>
      <c r="F578"/>
      <c r="J578" s="62"/>
      <c r="K578"/>
      <c r="L578"/>
      <c r="M578"/>
    </row>
    <row r="579" spans="1:13">
      <c r="A579" s="94"/>
      <c r="B579" s="85"/>
      <c r="F579"/>
      <c r="J579" s="62"/>
      <c r="K579"/>
      <c r="L579"/>
      <c r="M579"/>
    </row>
    <row r="580" spans="1:13">
      <c r="A580" s="94"/>
      <c r="B580" s="85"/>
      <c r="F580"/>
      <c r="J580" s="62"/>
      <c r="K580"/>
      <c r="L580"/>
      <c r="M580"/>
    </row>
    <row r="581" spans="1:13">
      <c r="A581" s="94"/>
      <c r="B581" s="85"/>
      <c r="F581"/>
      <c r="J581" s="62"/>
      <c r="K581"/>
      <c r="L581"/>
      <c r="M581"/>
    </row>
    <row r="582" spans="1:13">
      <c r="A582" s="94"/>
      <c r="B582" s="85"/>
      <c r="F582"/>
      <c r="J582" s="62"/>
      <c r="K582"/>
      <c r="L582"/>
      <c r="M582"/>
    </row>
    <row r="583" spans="1:13">
      <c r="A583" s="94"/>
      <c r="B583" s="85"/>
      <c r="F583"/>
      <c r="J583" s="62"/>
      <c r="K583"/>
      <c r="L583"/>
      <c r="M583"/>
    </row>
    <row r="584" spans="1:13">
      <c r="A584" s="94"/>
      <c r="B584" s="85"/>
      <c r="F584"/>
      <c r="J584" s="62"/>
      <c r="K584"/>
      <c r="L584"/>
      <c r="M584"/>
    </row>
    <row r="585" spans="1:13">
      <c r="A585" s="94"/>
      <c r="B585" s="85"/>
      <c r="F585"/>
      <c r="J585" s="62"/>
      <c r="K585"/>
      <c r="L585"/>
      <c r="M585"/>
    </row>
    <row r="586" spans="1:13">
      <c r="A586" s="94"/>
      <c r="B586" s="85"/>
      <c r="F586"/>
      <c r="J586" s="62"/>
      <c r="K586"/>
      <c r="L586"/>
      <c r="M586"/>
    </row>
    <row r="587" spans="1:13">
      <c r="A587" s="94"/>
      <c r="B587" s="85"/>
      <c r="F587"/>
      <c r="J587" s="62"/>
      <c r="K587"/>
      <c r="L587"/>
      <c r="M587"/>
    </row>
    <row r="588" spans="1:13">
      <c r="A588" s="94"/>
      <c r="B588" s="85"/>
      <c r="F588"/>
      <c r="J588" s="62"/>
      <c r="K588"/>
      <c r="L588"/>
      <c r="M588"/>
    </row>
    <row r="589" spans="1:13">
      <c r="A589" s="94"/>
      <c r="B589" s="85"/>
      <c r="F589"/>
      <c r="J589" s="62"/>
      <c r="K589"/>
      <c r="L589"/>
      <c r="M589"/>
    </row>
    <row r="590" spans="1:13">
      <c r="A590" s="94"/>
      <c r="B590" s="85"/>
      <c r="F590"/>
      <c r="J590" s="62"/>
      <c r="K590"/>
      <c r="L590"/>
      <c r="M590"/>
    </row>
    <row r="591" spans="1:13">
      <c r="A591" s="94"/>
      <c r="B591" s="85"/>
      <c r="F591"/>
      <c r="J591" s="62"/>
      <c r="K591"/>
      <c r="L591"/>
      <c r="M591"/>
    </row>
    <row r="592" spans="1:13">
      <c r="A592" s="94"/>
      <c r="B592" s="85"/>
      <c r="F592"/>
      <c r="J592" s="62"/>
      <c r="K592"/>
      <c r="L592"/>
      <c r="M592"/>
    </row>
    <row r="593" spans="1:13">
      <c r="A593" s="94"/>
      <c r="B593" s="85"/>
      <c r="F593"/>
      <c r="J593" s="62"/>
      <c r="K593"/>
      <c r="L593"/>
      <c r="M593"/>
    </row>
    <row r="594" spans="1:13">
      <c r="A594" s="94"/>
      <c r="B594" s="85"/>
      <c r="F594"/>
      <c r="J594" s="62"/>
      <c r="K594"/>
      <c r="L594"/>
      <c r="M594"/>
    </row>
    <row r="595" spans="1:13">
      <c r="A595" s="94"/>
      <c r="B595" s="85"/>
      <c r="F595"/>
      <c r="J595" s="62"/>
      <c r="K595"/>
      <c r="L595"/>
      <c r="M595"/>
    </row>
    <row r="596" spans="1:13">
      <c r="A596" s="94"/>
      <c r="B596" s="85"/>
      <c r="F596"/>
      <c r="J596" s="62"/>
      <c r="K596"/>
      <c r="L596"/>
      <c r="M596"/>
    </row>
    <row r="597" spans="1:13">
      <c r="A597" s="94"/>
      <c r="B597" s="85"/>
      <c r="F597"/>
      <c r="J597" s="62"/>
      <c r="K597"/>
      <c r="L597"/>
      <c r="M597"/>
    </row>
    <row r="598" spans="1:13">
      <c r="A598" s="94"/>
      <c r="B598" s="85"/>
      <c r="F598"/>
      <c r="J598" s="62"/>
      <c r="K598"/>
      <c r="L598"/>
      <c r="M598"/>
    </row>
    <row r="599" spans="1:13">
      <c r="A599" s="94"/>
      <c r="B599" s="85"/>
      <c r="F599"/>
      <c r="J599" s="62"/>
      <c r="K599"/>
      <c r="L599"/>
      <c r="M599"/>
    </row>
    <row r="600" spans="1:13">
      <c r="A600" s="94"/>
      <c r="B600" s="85"/>
      <c r="F600"/>
      <c r="J600" s="62"/>
      <c r="K600"/>
      <c r="L600"/>
      <c r="M600"/>
    </row>
    <row r="601" spans="1:13">
      <c r="A601" s="94"/>
      <c r="B601" s="85"/>
      <c r="F601"/>
      <c r="J601" s="62"/>
      <c r="K601"/>
      <c r="L601"/>
      <c r="M601"/>
    </row>
    <row r="602" spans="1:13">
      <c r="A602" s="94"/>
      <c r="B602" s="85"/>
      <c r="F602"/>
      <c r="J602" s="62"/>
      <c r="K602"/>
      <c r="L602"/>
      <c r="M602"/>
    </row>
    <row r="603" spans="1:13">
      <c r="A603" s="94"/>
      <c r="B603" s="85"/>
      <c r="F603"/>
      <c r="J603" s="62"/>
      <c r="K603"/>
      <c r="L603"/>
      <c r="M603"/>
    </row>
    <row r="604" spans="1:13">
      <c r="A604" s="94"/>
      <c r="B604" s="85"/>
      <c r="F604"/>
      <c r="J604" s="62"/>
      <c r="K604"/>
      <c r="L604"/>
      <c r="M604"/>
    </row>
    <row r="605" spans="1:13">
      <c r="A605" s="94"/>
      <c r="B605" s="85"/>
      <c r="F605"/>
      <c r="J605" s="62"/>
      <c r="K605"/>
      <c r="L605"/>
      <c r="M605"/>
    </row>
    <row r="606" spans="1:13">
      <c r="A606" s="94"/>
      <c r="B606" s="85"/>
      <c r="F606"/>
      <c r="J606" s="62"/>
      <c r="K606"/>
      <c r="L606"/>
      <c r="M606"/>
    </row>
    <row r="607" spans="1:13">
      <c r="A607" s="94"/>
      <c r="B607" s="85"/>
      <c r="F607"/>
      <c r="J607" s="62"/>
      <c r="K607"/>
      <c r="L607"/>
      <c r="M607"/>
    </row>
    <row r="608" spans="1:13">
      <c r="A608" s="94"/>
      <c r="B608" s="85"/>
      <c r="F608"/>
      <c r="J608" s="62"/>
      <c r="K608"/>
      <c r="L608"/>
      <c r="M608"/>
    </row>
    <row r="609" spans="1:13">
      <c r="A609" s="94"/>
      <c r="B609" s="85"/>
      <c r="F609"/>
      <c r="J609" s="62"/>
      <c r="K609"/>
      <c r="L609"/>
      <c r="M609"/>
    </row>
    <row r="610" spans="1:13">
      <c r="A610" s="94"/>
      <c r="B610" s="85"/>
      <c r="F610"/>
      <c r="J610" s="62"/>
      <c r="K610"/>
      <c r="L610"/>
      <c r="M610"/>
    </row>
    <row r="611" spans="1:13">
      <c r="A611" s="94"/>
      <c r="B611" s="85"/>
      <c r="F611"/>
      <c r="J611" s="62"/>
      <c r="K611"/>
      <c r="L611"/>
      <c r="M611"/>
    </row>
    <row r="612" spans="1:13">
      <c r="A612" s="94"/>
      <c r="B612" s="85"/>
      <c r="F612"/>
      <c r="J612" s="62"/>
      <c r="K612"/>
      <c r="L612"/>
      <c r="M612"/>
    </row>
    <row r="613" spans="1:13">
      <c r="A613" s="94"/>
      <c r="B613" s="85"/>
      <c r="F613"/>
      <c r="J613" s="62"/>
      <c r="K613"/>
      <c r="L613"/>
      <c r="M613"/>
    </row>
    <row r="614" spans="1:13">
      <c r="A614" s="94"/>
      <c r="B614" s="85"/>
      <c r="F614"/>
      <c r="J614" s="62"/>
      <c r="K614"/>
      <c r="L614"/>
      <c r="M614"/>
    </row>
    <row r="615" spans="1:13">
      <c r="A615" s="94"/>
      <c r="B615" s="85"/>
      <c r="F615"/>
      <c r="J615" s="62"/>
      <c r="K615"/>
      <c r="L615"/>
      <c r="M615"/>
    </row>
    <row r="616" spans="1:13">
      <c r="A616" s="94"/>
      <c r="B616" s="85"/>
      <c r="F616"/>
      <c r="J616" s="62"/>
      <c r="K616"/>
      <c r="L616"/>
      <c r="M616"/>
    </row>
    <row r="617" spans="1:13">
      <c r="A617" s="94"/>
      <c r="B617" s="85"/>
      <c r="F617"/>
      <c r="J617" s="62"/>
      <c r="K617"/>
      <c r="L617"/>
      <c r="M617"/>
    </row>
    <row r="618" spans="1:13">
      <c r="A618" s="94"/>
      <c r="B618" s="85"/>
      <c r="F618"/>
      <c r="J618" s="62"/>
      <c r="K618"/>
      <c r="L618"/>
      <c r="M618"/>
    </row>
    <row r="619" spans="1:13">
      <c r="A619" s="94"/>
      <c r="B619" s="85"/>
      <c r="F619"/>
      <c r="J619" s="62"/>
      <c r="K619"/>
      <c r="L619"/>
      <c r="M619"/>
    </row>
    <row r="620" spans="1:13">
      <c r="A620" s="94"/>
      <c r="B620" s="85"/>
      <c r="F620"/>
      <c r="J620" s="62"/>
      <c r="K620"/>
      <c r="L620"/>
      <c r="M620"/>
    </row>
    <row r="621" spans="1:13">
      <c r="A621" s="94"/>
      <c r="B621" s="85"/>
      <c r="F621"/>
      <c r="J621" s="62"/>
      <c r="K621"/>
      <c r="L621"/>
      <c r="M621"/>
    </row>
    <row r="622" spans="1:13">
      <c r="A622" s="94"/>
      <c r="B622" s="85"/>
      <c r="F622"/>
      <c r="J622" s="62"/>
      <c r="K622"/>
      <c r="L622"/>
      <c r="M622"/>
    </row>
    <row r="623" spans="1:13">
      <c r="A623" s="94"/>
      <c r="B623" s="85"/>
      <c r="F623"/>
      <c r="J623" s="62"/>
      <c r="K623"/>
      <c r="L623"/>
      <c r="M623"/>
    </row>
    <row r="624" spans="1:13">
      <c r="A624" s="94"/>
      <c r="B624" s="85"/>
      <c r="F624"/>
      <c r="J624" s="62"/>
      <c r="K624"/>
      <c r="L624"/>
      <c r="M624"/>
    </row>
    <row r="625" spans="1:13">
      <c r="A625" s="94"/>
      <c r="B625" s="85"/>
      <c r="F625"/>
      <c r="J625" s="62"/>
      <c r="K625"/>
      <c r="L625"/>
      <c r="M625"/>
    </row>
    <row r="626" spans="1:13">
      <c r="A626" s="94"/>
      <c r="B626" s="85"/>
      <c r="F626"/>
      <c r="J626" s="62"/>
      <c r="K626"/>
      <c r="L626"/>
      <c r="M626"/>
    </row>
    <row r="627" spans="1:13">
      <c r="A627" s="94"/>
      <c r="B627" s="85"/>
      <c r="F627"/>
      <c r="J627" s="62"/>
      <c r="K627"/>
      <c r="L627"/>
      <c r="M627"/>
    </row>
    <row r="628" spans="1:13">
      <c r="A628" s="94"/>
      <c r="B628" s="85"/>
      <c r="F628"/>
      <c r="J628" s="62"/>
      <c r="K628"/>
      <c r="L628"/>
      <c r="M628"/>
    </row>
    <row r="629" spans="1:13">
      <c r="A629" s="94"/>
      <c r="B629" s="85"/>
      <c r="F629"/>
      <c r="J629" s="62"/>
      <c r="K629"/>
      <c r="L629"/>
      <c r="M629"/>
    </row>
    <row r="630" spans="1:13">
      <c r="A630" s="94"/>
      <c r="B630" s="85"/>
      <c r="F630"/>
      <c r="J630" s="62"/>
      <c r="K630"/>
      <c r="L630"/>
      <c r="M630"/>
    </row>
    <row r="631" spans="1:13">
      <c r="A631" s="94"/>
      <c r="B631" s="85"/>
      <c r="F631"/>
      <c r="J631" s="62"/>
      <c r="K631"/>
      <c r="L631"/>
      <c r="M631"/>
    </row>
    <row r="632" spans="1:13">
      <c r="A632" s="94"/>
      <c r="B632" s="85"/>
      <c r="F632"/>
      <c r="J632" s="62"/>
      <c r="K632"/>
      <c r="L632"/>
      <c r="M632"/>
    </row>
    <row r="633" spans="1:13">
      <c r="A633" s="94"/>
      <c r="B633" s="85"/>
      <c r="F633"/>
      <c r="J633" s="62"/>
      <c r="K633"/>
      <c r="L633"/>
      <c r="M633"/>
    </row>
    <row r="634" spans="1:13">
      <c r="A634" s="94"/>
      <c r="B634" s="85"/>
      <c r="F634"/>
      <c r="J634" s="62"/>
      <c r="K634"/>
      <c r="L634"/>
      <c r="M634"/>
    </row>
    <row r="635" spans="1:13">
      <c r="A635" s="94"/>
      <c r="B635" s="85"/>
      <c r="F635"/>
      <c r="J635" s="62"/>
      <c r="K635"/>
      <c r="L635"/>
      <c r="M635"/>
    </row>
    <row r="636" spans="1:13">
      <c r="A636" s="94"/>
      <c r="B636" s="85"/>
      <c r="F636"/>
      <c r="J636" s="62"/>
      <c r="K636"/>
      <c r="L636"/>
      <c r="M636"/>
    </row>
    <row r="637" spans="1:13">
      <c r="A637" s="94"/>
      <c r="B637" s="85"/>
      <c r="F637"/>
      <c r="J637" s="62"/>
      <c r="K637"/>
      <c r="L637"/>
      <c r="M637"/>
    </row>
    <row r="638" spans="1:13">
      <c r="A638" s="94"/>
      <c r="B638" s="85"/>
      <c r="F638"/>
      <c r="J638" s="62"/>
      <c r="K638"/>
      <c r="L638"/>
      <c r="M638"/>
    </row>
    <row r="639" spans="1:13">
      <c r="A639" s="94"/>
      <c r="B639" s="85"/>
      <c r="F639"/>
      <c r="J639" s="62"/>
      <c r="K639"/>
      <c r="L639"/>
      <c r="M639"/>
    </row>
    <row r="640" spans="1:13">
      <c r="A640" s="94"/>
      <c r="B640" s="85"/>
      <c r="F640"/>
      <c r="J640" s="62"/>
      <c r="K640"/>
      <c r="L640"/>
      <c r="M640"/>
    </row>
    <row r="641" spans="1:13">
      <c r="A641" s="94"/>
      <c r="B641" s="85"/>
      <c r="F641"/>
      <c r="J641" s="62"/>
      <c r="K641"/>
      <c r="L641"/>
      <c r="M641"/>
    </row>
    <row r="642" spans="1:13">
      <c r="A642" s="94"/>
      <c r="B642" s="85"/>
      <c r="F642"/>
      <c r="J642" s="62"/>
      <c r="K642"/>
      <c r="L642"/>
      <c r="M642"/>
    </row>
    <row r="643" spans="1:13">
      <c r="A643" s="94"/>
      <c r="B643" s="85"/>
      <c r="F643"/>
      <c r="J643" s="62"/>
      <c r="K643"/>
      <c r="L643"/>
      <c r="M643"/>
    </row>
    <row r="644" spans="1:13">
      <c r="A644" s="94"/>
      <c r="B644" s="85"/>
      <c r="F644"/>
      <c r="J644" s="62"/>
      <c r="K644"/>
      <c r="L644"/>
      <c r="M644"/>
    </row>
    <row r="645" spans="1:13">
      <c r="A645" s="94"/>
      <c r="B645" s="85"/>
      <c r="F645"/>
      <c r="J645" s="62"/>
      <c r="K645"/>
      <c r="L645"/>
      <c r="M645"/>
    </row>
    <row r="646" spans="1:13">
      <c r="A646" s="94"/>
      <c r="B646" s="85"/>
      <c r="F646"/>
      <c r="J646" s="62"/>
      <c r="K646"/>
      <c r="L646"/>
      <c r="M646"/>
    </row>
    <row r="647" spans="1:13">
      <c r="A647" s="94"/>
      <c r="B647" s="85"/>
      <c r="F647"/>
      <c r="J647" s="62"/>
      <c r="K647"/>
      <c r="L647"/>
      <c r="M647"/>
    </row>
    <row r="648" spans="1:13">
      <c r="A648" s="94"/>
      <c r="B648" s="85"/>
      <c r="F648"/>
      <c r="J648" s="62"/>
      <c r="K648"/>
      <c r="L648"/>
      <c r="M648"/>
    </row>
    <row r="649" spans="1:13">
      <c r="A649" s="94"/>
      <c r="B649" s="85"/>
      <c r="F649"/>
      <c r="J649" s="62"/>
      <c r="K649"/>
      <c r="L649"/>
      <c r="M649"/>
    </row>
    <row r="650" spans="1:13">
      <c r="A650" s="94"/>
      <c r="B650" s="85"/>
      <c r="F650"/>
      <c r="J650" s="62"/>
      <c r="K650"/>
      <c r="L650"/>
      <c r="M650"/>
    </row>
    <row r="651" spans="1:13">
      <c r="A651" s="94"/>
      <c r="B651" s="85"/>
      <c r="F651"/>
      <c r="J651" s="62"/>
      <c r="K651"/>
      <c r="L651"/>
      <c r="M651"/>
    </row>
    <row r="652" spans="1:13">
      <c r="A652" s="94"/>
      <c r="B652" s="85"/>
      <c r="F652"/>
      <c r="J652" s="62"/>
      <c r="K652"/>
      <c r="L652"/>
      <c r="M652"/>
    </row>
    <row r="653" spans="1:13">
      <c r="A653" s="94"/>
      <c r="B653" s="85"/>
      <c r="F653"/>
      <c r="J653" s="62"/>
      <c r="K653"/>
      <c r="L653"/>
      <c r="M653"/>
    </row>
    <row r="654" spans="1:13">
      <c r="A654" s="94"/>
      <c r="B654" s="85"/>
      <c r="F654"/>
      <c r="J654" s="62"/>
      <c r="K654"/>
      <c r="L654"/>
      <c r="M654"/>
    </row>
    <row r="655" spans="1:13">
      <c r="A655" s="94"/>
      <c r="B655" s="85"/>
      <c r="F655"/>
      <c r="J655" s="62"/>
      <c r="K655"/>
      <c r="L655"/>
      <c r="M655"/>
    </row>
    <row r="656" spans="1:13">
      <c r="A656" s="94"/>
      <c r="B656" s="85"/>
      <c r="F656"/>
      <c r="J656" s="62"/>
      <c r="K656"/>
      <c r="L656"/>
      <c r="M656"/>
    </row>
    <row r="657" spans="1:13">
      <c r="A657" s="94"/>
      <c r="B657" s="85"/>
      <c r="F657"/>
      <c r="J657" s="62"/>
      <c r="K657"/>
      <c r="L657"/>
      <c r="M657"/>
    </row>
    <row r="658" spans="1:13">
      <c r="A658" s="94"/>
      <c r="B658" s="85"/>
      <c r="F658"/>
      <c r="J658" s="62"/>
      <c r="K658"/>
      <c r="L658"/>
      <c r="M658"/>
    </row>
    <row r="659" spans="1:13">
      <c r="A659" s="94"/>
      <c r="B659" s="85"/>
      <c r="F659"/>
      <c r="J659" s="62"/>
      <c r="K659"/>
      <c r="L659"/>
      <c r="M659"/>
    </row>
    <row r="660" spans="1:13">
      <c r="A660" s="94"/>
      <c r="B660" s="85"/>
      <c r="F660"/>
      <c r="J660" s="62"/>
      <c r="K660"/>
      <c r="L660"/>
      <c r="M660"/>
    </row>
    <row r="661" spans="1:13">
      <c r="A661" s="94"/>
      <c r="B661" s="85"/>
      <c r="F661"/>
      <c r="J661" s="62"/>
      <c r="K661"/>
      <c r="L661"/>
      <c r="M661"/>
    </row>
    <row r="662" spans="1:13">
      <c r="A662" s="94"/>
      <c r="B662" s="85"/>
      <c r="F662"/>
      <c r="J662" s="62"/>
      <c r="K662"/>
      <c r="L662"/>
      <c r="M662"/>
    </row>
    <row r="663" spans="1:13">
      <c r="A663" s="94"/>
      <c r="B663" s="85"/>
      <c r="F663"/>
      <c r="J663" s="62"/>
      <c r="K663"/>
      <c r="L663"/>
      <c r="M663"/>
    </row>
    <row r="664" spans="1:13">
      <c r="A664" s="94"/>
      <c r="B664" s="85"/>
      <c r="F664"/>
      <c r="J664" s="62"/>
      <c r="K664"/>
      <c r="L664"/>
      <c r="M664"/>
    </row>
    <row r="665" spans="1:13">
      <c r="A665" s="94"/>
      <c r="B665" s="85"/>
      <c r="F665"/>
      <c r="J665" s="62"/>
      <c r="K665"/>
      <c r="L665"/>
      <c r="M665"/>
    </row>
    <row r="666" spans="1:13">
      <c r="A666" s="94"/>
      <c r="B666" s="85"/>
      <c r="F666"/>
      <c r="J666" s="62"/>
      <c r="K666"/>
      <c r="L666"/>
      <c r="M666"/>
    </row>
    <row r="667" spans="1:13">
      <c r="A667" s="94"/>
      <c r="B667" s="85"/>
      <c r="F667"/>
      <c r="J667" s="62"/>
      <c r="K667"/>
      <c r="L667"/>
      <c r="M667"/>
    </row>
    <row r="668" spans="1:13">
      <c r="A668" s="94"/>
      <c r="B668" s="85"/>
      <c r="F668"/>
      <c r="J668" s="62"/>
      <c r="K668"/>
      <c r="L668"/>
      <c r="M668"/>
    </row>
    <row r="669" spans="1:13">
      <c r="A669" s="94"/>
      <c r="B669" s="85"/>
      <c r="F669"/>
      <c r="J669" s="62"/>
      <c r="K669"/>
      <c r="L669"/>
      <c r="M669"/>
    </row>
    <row r="670" spans="1:13">
      <c r="A670" s="94"/>
      <c r="B670" s="85"/>
      <c r="F670"/>
      <c r="J670" s="62"/>
      <c r="K670"/>
      <c r="L670"/>
      <c r="M670"/>
    </row>
    <row r="671" spans="1:13">
      <c r="A671" s="94"/>
      <c r="B671" s="85"/>
      <c r="F671"/>
      <c r="J671" s="62"/>
      <c r="K671"/>
      <c r="L671"/>
      <c r="M671"/>
    </row>
    <row r="672" spans="1:13">
      <c r="A672" s="94"/>
      <c r="B672" s="85"/>
      <c r="F672"/>
      <c r="J672" s="62"/>
      <c r="K672"/>
      <c r="L672"/>
      <c r="M672"/>
    </row>
    <row r="673" spans="1:13">
      <c r="A673" s="94"/>
      <c r="B673" s="85"/>
      <c r="F673"/>
      <c r="J673" s="62"/>
      <c r="K673"/>
      <c r="L673"/>
      <c r="M673"/>
    </row>
    <row r="674" spans="1:13">
      <c r="A674" s="94"/>
      <c r="B674" s="85"/>
      <c r="F674"/>
      <c r="J674" s="62"/>
      <c r="K674"/>
      <c r="L674"/>
      <c r="M674"/>
    </row>
    <row r="675" spans="1:13">
      <c r="A675" s="94"/>
      <c r="B675" s="85"/>
      <c r="F675"/>
      <c r="J675" s="62"/>
      <c r="K675"/>
      <c r="L675"/>
      <c r="M675"/>
    </row>
    <row r="676" spans="1:13">
      <c r="A676" s="94"/>
      <c r="B676" s="85"/>
      <c r="F676"/>
      <c r="J676" s="62"/>
      <c r="K676"/>
      <c r="L676"/>
      <c r="M676"/>
    </row>
    <row r="677" spans="1:13">
      <c r="A677" s="94"/>
      <c r="B677" s="85"/>
      <c r="F677"/>
      <c r="J677" s="62"/>
      <c r="K677"/>
      <c r="L677"/>
      <c r="M677"/>
    </row>
    <row r="678" spans="1:13">
      <c r="A678" s="94"/>
      <c r="B678" s="85"/>
      <c r="F678"/>
      <c r="J678" s="62"/>
      <c r="K678"/>
      <c r="L678"/>
      <c r="M678"/>
    </row>
    <row r="679" spans="1:13">
      <c r="A679" s="94"/>
      <c r="B679" s="85"/>
      <c r="F679"/>
      <c r="J679" s="62"/>
      <c r="K679"/>
      <c r="L679"/>
      <c r="M679"/>
    </row>
    <row r="680" spans="1:13">
      <c r="A680" s="94"/>
      <c r="B680" s="85"/>
      <c r="F680"/>
      <c r="J680" s="62"/>
      <c r="K680"/>
      <c r="L680"/>
      <c r="M680"/>
    </row>
    <row r="681" spans="1:13">
      <c r="A681" s="94"/>
      <c r="B681" s="85"/>
      <c r="F681"/>
      <c r="J681" s="62"/>
      <c r="K681"/>
      <c r="L681"/>
      <c r="M681"/>
    </row>
    <row r="682" spans="1:13">
      <c r="A682" s="94"/>
      <c r="B682" s="85"/>
      <c r="F682"/>
      <c r="J682" s="62"/>
      <c r="K682"/>
      <c r="L682"/>
      <c r="M682"/>
    </row>
    <row r="683" spans="1:13">
      <c r="A683" s="94"/>
      <c r="B683" s="85"/>
      <c r="F683"/>
      <c r="J683" s="62"/>
      <c r="K683"/>
      <c r="L683"/>
      <c r="M683"/>
    </row>
    <row r="684" spans="1:13">
      <c r="A684" s="94"/>
      <c r="B684" s="85"/>
      <c r="F684"/>
      <c r="J684" s="62"/>
      <c r="K684"/>
      <c r="L684"/>
      <c r="M684"/>
    </row>
    <row r="685" spans="1:13">
      <c r="A685" s="94"/>
      <c r="B685" s="85"/>
      <c r="F685"/>
      <c r="J685" s="62"/>
      <c r="K685"/>
      <c r="L685"/>
      <c r="M685"/>
    </row>
    <row r="686" spans="1:13">
      <c r="A686" s="94"/>
      <c r="B686" s="85"/>
      <c r="F686"/>
      <c r="J686" s="62"/>
      <c r="K686"/>
      <c r="L686"/>
      <c r="M686"/>
    </row>
    <row r="687" spans="1:13">
      <c r="A687" s="94"/>
      <c r="B687" s="85"/>
      <c r="F687"/>
      <c r="J687" s="62"/>
      <c r="K687"/>
      <c r="L687"/>
      <c r="M687"/>
    </row>
    <row r="688" spans="1:13">
      <c r="A688" s="94"/>
      <c r="B688" s="85"/>
      <c r="F688"/>
      <c r="J688" s="62"/>
      <c r="K688"/>
      <c r="L688"/>
      <c r="M688"/>
    </row>
    <row r="689" spans="1:13">
      <c r="A689" s="94"/>
      <c r="B689" s="85"/>
      <c r="F689"/>
      <c r="J689" s="62"/>
      <c r="K689"/>
      <c r="L689"/>
      <c r="M689"/>
    </row>
    <row r="690" spans="1:13">
      <c r="A690" s="94"/>
      <c r="B690" s="85"/>
      <c r="F690"/>
      <c r="J690" s="62"/>
      <c r="K690"/>
      <c r="L690"/>
      <c r="M690"/>
    </row>
    <row r="691" spans="1:13">
      <c r="A691" s="94"/>
      <c r="B691" s="85"/>
      <c r="F691"/>
      <c r="J691" s="62"/>
      <c r="K691"/>
      <c r="L691"/>
      <c r="M691"/>
    </row>
    <row r="692" spans="1:13">
      <c r="A692" s="94"/>
      <c r="B692" s="85"/>
      <c r="F692"/>
      <c r="J692" s="62"/>
      <c r="K692"/>
      <c r="L692"/>
      <c r="M692"/>
    </row>
    <row r="693" spans="1:13">
      <c r="A693" s="94"/>
      <c r="B693" s="85"/>
      <c r="F693"/>
      <c r="J693" s="62"/>
      <c r="K693"/>
      <c r="L693"/>
      <c r="M693"/>
    </row>
    <row r="694" spans="1:13">
      <c r="A694" s="94"/>
      <c r="B694" s="85"/>
      <c r="F694"/>
      <c r="J694" s="62"/>
      <c r="K694"/>
      <c r="L694"/>
      <c r="M694"/>
    </row>
    <row r="695" spans="1:13">
      <c r="A695" s="94"/>
      <c r="B695" s="85"/>
      <c r="F695"/>
      <c r="J695" s="62"/>
      <c r="K695"/>
      <c r="L695"/>
      <c r="M695"/>
    </row>
    <row r="696" spans="1:13">
      <c r="A696" s="94"/>
      <c r="B696" s="85"/>
      <c r="F696"/>
      <c r="J696" s="62"/>
      <c r="K696"/>
      <c r="L696"/>
      <c r="M696"/>
    </row>
    <row r="697" spans="1:13">
      <c r="A697" s="94"/>
      <c r="B697" s="85"/>
      <c r="F697"/>
      <c r="J697" s="62"/>
      <c r="K697"/>
      <c r="L697"/>
      <c r="M697"/>
    </row>
    <row r="698" spans="1:13">
      <c r="A698" s="94"/>
      <c r="B698" s="85"/>
      <c r="F698"/>
      <c r="J698" s="62"/>
      <c r="K698"/>
      <c r="L698"/>
      <c r="M698"/>
    </row>
    <row r="699" spans="1:13">
      <c r="A699" s="94"/>
      <c r="B699" s="85"/>
      <c r="F699"/>
      <c r="J699" s="62"/>
      <c r="K699"/>
      <c r="L699"/>
      <c r="M699"/>
    </row>
    <row r="700" spans="1:13">
      <c r="A700" s="94"/>
      <c r="B700" s="85"/>
      <c r="F700"/>
      <c r="J700" s="62"/>
      <c r="K700"/>
      <c r="L700"/>
      <c r="M700"/>
    </row>
    <row r="701" spans="1:13">
      <c r="A701" s="94"/>
      <c r="B701" s="85"/>
      <c r="F701"/>
      <c r="J701" s="62"/>
      <c r="K701"/>
      <c r="L701"/>
      <c r="M701"/>
    </row>
    <row r="702" spans="1:13">
      <c r="A702" s="94"/>
      <c r="B702" s="85"/>
      <c r="F702"/>
      <c r="J702" s="62"/>
      <c r="K702"/>
      <c r="L702"/>
      <c r="M702"/>
    </row>
    <row r="703" spans="1:13">
      <c r="A703" s="94"/>
      <c r="B703" s="85"/>
      <c r="F703"/>
      <c r="J703" s="62"/>
      <c r="K703"/>
      <c r="L703"/>
      <c r="M703"/>
    </row>
    <row r="704" spans="1:13">
      <c r="A704" s="94"/>
      <c r="B704" s="85"/>
      <c r="F704"/>
      <c r="J704" s="62"/>
      <c r="K704"/>
      <c r="L704"/>
      <c r="M704"/>
    </row>
    <row r="705" spans="1:13">
      <c r="A705" s="94"/>
      <c r="B705" s="85"/>
      <c r="F705"/>
      <c r="J705" s="62"/>
      <c r="K705"/>
      <c r="L705"/>
      <c r="M705"/>
    </row>
    <row r="706" spans="1:13">
      <c r="A706" s="94"/>
      <c r="B706" s="85"/>
      <c r="F706"/>
      <c r="J706" s="62"/>
      <c r="K706"/>
      <c r="L706"/>
      <c r="M706"/>
    </row>
    <row r="707" spans="1:13">
      <c r="A707" s="94"/>
      <c r="B707" s="85"/>
      <c r="F707"/>
      <c r="J707" s="62"/>
      <c r="K707"/>
      <c r="L707"/>
      <c r="M707"/>
    </row>
    <row r="708" spans="1:13">
      <c r="B708" s="85"/>
      <c r="F708"/>
      <c r="J708" s="62"/>
      <c r="K708"/>
      <c r="L708"/>
      <c r="M708"/>
    </row>
  </sheetData>
  <sheetProtection selectLockedCells="1" selectUnlockedCells="1"/>
  <mergeCells count="406">
    <mergeCell ref="C172:C173"/>
    <mergeCell ref="H174:H178"/>
    <mergeCell ref="L78:L80"/>
    <mergeCell ref="B78:B80"/>
    <mergeCell ref="C78:C80"/>
    <mergeCell ref="F78:F80"/>
    <mergeCell ref="H78:H80"/>
    <mergeCell ref="I78:I80"/>
    <mergeCell ref="J78:J80"/>
    <mergeCell ref="K78:K80"/>
    <mergeCell ref="G78:G80"/>
    <mergeCell ref="B147:B151"/>
    <mergeCell ref="D147:D151"/>
    <mergeCell ref="E147:E151"/>
    <mergeCell ref="F147:F151"/>
    <mergeCell ref="G147:G151"/>
    <mergeCell ref="H147:H151"/>
    <mergeCell ref="I147:I151"/>
    <mergeCell ref="J147:J151"/>
    <mergeCell ref="K147:K151"/>
    <mergeCell ref="I174:I178"/>
    <mergeCell ref="J174:J178"/>
    <mergeCell ref="K174:K178"/>
    <mergeCell ref="D174:D175"/>
    <mergeCell ref="B41:B43"/>
    <mergeCell ref="D41:D43"/>
    <mergeCell ref="E41:E43"/>
    <mergeCell ref="F41:F43"/>
    <mergeCell ref="G41:G43"/>
    <mergeCell ref="H41:H43"/>
    <mergeCell ref="B82:B83"/>
    <mergeCell ref="D82:D83"/>
    <mergeCell ref="E82:E83"/>
    <mergeCell ref="F82:F83"/>
    <mergeCell ref="F57:F58"/>
    <mergeCell ref="H61:H63"/>
    <mergeCell ref="B44:B45"/>
    <mergeCell ref="E44:E45"/>
    <mergeCell ref="F44:F45"/>
    <mergeCell ref="G44:G45"/>
    <mergeCell ref="H44:H45"/>
    <mergeCell ref="D44:D45"/>
    <mergeCell ref="D61:D63"/>
    <mergeCell ref="E61:E63"/>
    <mergeCell ref="F61:F63"/>
    <mergeCell ref="G61:G63"/>
    <mergeCell ref="H47:H56"/>
    <mergeCell ref="B38:B40"/>
    <mergeCell ref="B200:B201"/>
    <mergeCell ref="B206:K206"/>
    <mergeCell ref="K187:K190"/>
    <mergeCell ref="L187:L190"/>
    <mergeCell ref="B195:B197"/>
    <mergeCell ref="C195:C197"/>
    <mergeCell ref="F195:F197"/>
    <mergeCell ref="G195:G197"/>
    <mergeCell ref="H195:H197"/>
    <mergeCell ref="I195:I197"/>
    <mergeCell ref="J195:J197"/>
    <mergeCell ref="B187:B190"/>
    <mergeCell ref="C187:C190"/>
    <mergeCell ref="F187:F190"/>
    <mergeCell ref="G187:G190"/>
    <mergeCell ref="H187:H190"/>
    <mergeCell ref="I187:I190"/>
    <mergeCell ref="J187:J190"/>
    <mergeCell ref="K195:K197"/>
    <mergeCell ref="L195:L197"/>
    <mergeCell ref="B179:B182"/>
    <mergeCell ref="B174:B178"/>
    <mergeCell ref="F174:F178"/>
    <mergeCell ref="F179:F182"/>
    <mergeCell ref="G179:G182"/>
    <mergeCell ref="H179:H182"/>
    <mergeCell ref="I179:I182"/>
    <mergeCell ref="J179:J182"/>
    <mergeCell ref="K179:K182"/>
    <mergeCell ref="L179:L182"/>
    <mergeCell ref="B183:B186"/>
    <mergeCell ref="C183:C186"/>
    <mergeCell ref="F183:F186"/>
    <mergeCell ref="G183:G186"/>
    <mergeCell ref="H183:H186"/>
    <mergeCell ref="I183:I186"/>
    <mergeCell ref="J183:J186"/>
    <mergeCell ref="K183:K186"/>
    <mergeCell ref="L183:L186"/>
    <mergeCell ref="E174:E175"/>
    <mergeCell ref="L171:L173"/>
    <mergeCell ref="K38:K40"/>
    <mergeCell ref="L38:L40"/>
    <mergeCell ref="K171:K173"/>
    <mergeCell ref="L174:L178"/>
    <mergeCell ref="L162:L163"/>
    <mergeCell ref="K168:K170"/>
    <mergeCell ref="J162:J163"/>
    <mergeCell ref="K162:K163"/>
    <mergeCell ref="L168:L170"/>
    <mergeCell ref="L143:L146"/>
    <mergeCell ref="L157:L161"/>
    <mergeCell ref="G174:G178"/>
    <mergeCell ref="F89:F91"/>
    <mergeCell ref="L152:L155"/>
    <mergeCell ref="G136:G139"/>
    <mergeCell ref="H136:H139"/>
    <mergeCell ref="I136:I139"/>
    <mergeCell ref="J136:J139"/>
    <mergeCell ref="K136:K139"/>
    <mergeCell ref="L147:L151"/>
    <mergeCell ref="L122:L131"/>
    <mergeCell ref="L133:L135"/>
    <mergeCell ref="C38:C40"/>
    <mergeCell ref="F38:F40"/>
    <mergeCell ref="G38:G40"/>
    <mergeCell ref="H38:H40"/>
    <mergeCell ref="I38:I40"/>
    <mergeCell ref="J38:J40"/>
    <mergeCell ref="B171:B173"/>
    <mergeCell ref="F171:F173"/>
    <mergeCell ref="G171:G173"/>
    <mergeCell ref="H171:H173"/>
    <mergeCell ref="I171:I173"/>
    <mergeCell ref="J171:J173"/>
    <mergeCell ref="C107:C108"/>
    <mergeCell ref="B168:B170"/>
    <mergeCell ref="D168:D170"/>
    <mergeCell ref="E168:E170"/>
    <mergeCell ref="F168:F170"/>
    <mergeCell ref="G168:G170"/>
    <mergeCell ref="H168:H170"/>
    <mergeCell ref="I168:I170"/>
    <mergeCell ref="J168:J170"/>
    <mergeCell ref="G162:G163"/>
    <mergeCell ref="H162:H163"/>
    <mergeCell ref="I162:I163"/>
    <mergeCell ref="B162:B163"/>
    <mergeCell ref="D162:D163"/>
    <mergeCell ref="E162:E163"/>
    <mergeCell ref="F162:F163"/>
    <mergeCell ref="G152:G155"/>
    <mergeCell ref="H152:H155"/>
    <mergeCell ref="I152:I155"/>
    <mergeCell ref="J152:J155"/>
    <mergeCell ref="K152:K155"/>
    <mergeCell ref="B157:B161"/>
    <mergeCell ref="D157:D161"/>
    <mergeCell ref="E157:E161"/>
    <mergeCell ref="F157:F161"/>
    <mergeCell ref="G157:G161"/>
    <mergeCell ref="I157:I161"/>
    <mergeCell ref="J157:J161"/>
    <mergeCell ref="K157:K161"/>
    <mergeCell ref="B152:B155"/>
    <mergeCell ref="D152:D155"/>
    <mergeCell ref="E152:E155"/>
    <mergeCell ref="F152:F155"/>
    <mergeCell ref="H157:H161"/>
    <mergeCell ref="B143:B146"/>
    <mergeCell ref="D143:D146"/>
    <mergeCell ref="E143:E146"/>
    <mergeCell ref="F143:F146"/>
    <mergeCell ref="G143:G146"/>
    <mergeCell ref="H143:H146"/>
    <mergeCell ref="I143:I146"/>
    <mergeCell ref="J143:J146"/>
    <mergeCell ref="K143:K146"/>
    <mergeCell ref="B136:B139"/>
    <mergeCell ref="D136:D139"/>
    <mergeCell ref="E136:E139"/>
    <mergeCell ref="F136:F139"/>
    <mergeCell ref="L140:L142"/>
    <mergeCell ref="J140:J142"/>
    <mergeCell ref="K140:K142"/>
    <mergeCell ref="B140:B142"/>
    <mergeCell ref="D140:D142"/>
    <mergeCell ref="E140:E142"/>
    <mergeCell ref="F140:F142"/>
    <mergeCell ref="G140:G142"/>
    <mergeCell ref="H140:H142"/>
    <mergeCell ref="I140:I142"/>
    <mergeCell ref="L136:L139"/>
    <mergeCell ref="H122:H131"/>
    <mergeCell ref="I122:I131"/>
    <mergeCell ref="J122:J131"/>
    <mergeCell ref="K122:K131"/>
    <mergeCell ref="L114:L119"/>
    <mergeCell ref="B133:B135"/>
    <mergeCell ref="D133:D135"/>
    <mergeCell ref="E133:E135"/>
    <mergeCell ref="F133:F135"/>
    <mergeCell ref="G133:G135"/>
    <mergeCell ref="B122:B131"/>
    <mergeCell ref="D122:D131"/>
    <mergeCell ref="E122:E131"/>
    <mergeCell ref="F122:F131"/>
    <mergeCell ref="G122:G131"/>
    <mergeCell ref="H133:H135"/>
    <mergeCell ref="I133:I135"/>
    <mergeCell ref="J133:J135"/>
    <mergeCell ref="K133:K135"/>
    <mergeCell ref="B114:B119"/>
    <mergeCell ref="C114:C119"/>
    <mergeCell ref="F114:F119"/>
    <mergeCell ref="G114:G119"/>
    <mergeCell ref="H114:H119"/>
    <mergeCell ref="L94:L100"/>
    <mergeCell ref="L107:L110"/>
    <mergeCell ref="I107:I110"/>
    <mergeCell ref="D94:D100"/>
    <mergeCell ref="E94:E100"/>
    <mergeCell ref="F94:F100"/>
    <mergeCell ref="G94:G100"/>
    <mergeCell ref="H94:H100"/>
    <mergeCell ref="I94:I100"/>
    <mergeCell ref="J94:J100"/>
    <mergeCell ref="K94:K100"/>
    <mergeCell ref="F107:F110"/>
    <mergeCell ref="G107:G110"/>
    <mergeCell ref="H107:H110"/>
    <mergeCell ref="F101:F106"/>
    <mergeCell ref="G101:G106"/>
    <mergeCell ref="L101:L106"/>
    <mergeCell ref="D103:D104"/>
    <mergeCell ref="E103:E104"/>
    <mergeCell ref="D105:D106"/>
    <mergeCell ref="L82:L83"/>
    <mergeCell ref="G82:G83"/>
    <mergeCell ref="H82:H83"/>
    <mergeCell ref="I82:I83"/>
    <mergeCell ref="J82:J83"/>
    <mergeCell ref="K82:K83"/>
    <mergeCell ref="G89:G91"/>
    <mergeCell ref="H89:H91"/>
    <mergeCell ref="I89:I91"/>
    <mergeCell ref="L89:L91"/>
    <mergeCell ref="L84:L88"/>
    <mergeCell ref="I84:I88"/>
    <mergeCell ref="J84:J88"/>
    <mergeCell ref="K84:K88"/>
    <mergeCell ref="J89:J91"/>
    <mergeCell ref="K89:K91"/>
    <mergeCell ref="K67:K76"/>
    <mergeCell ref="L67:L76"/>
    <mergeCell ref="B47:B56"/>
    <mergeCell ref="D47:D56"/>
    <mergeCell ref="E47:E56"/>
    <mergeCell ref="F47:F56"/>
    <mergeCell ref="G47:G56"/>
    <mergeCell ref="B67:B76"/>
    <mergeCell ref="D67:D76"/>
    <mergeCell ref="E67:E76"/>
    <mergeCell ref="F67:F76"/>
    <mergeCell ref="G67:G76"/>
    <mergeCell ref="H67:H76"/>
    <mergeCell ref="I67:I76"/>
    <mergeCell ref="J67:J76"/>
    <mergeCell ref="L59:L60"/>
    <mergeCell ref="B57:B58"/>
    <mergeCell ref="D57:D58"/>
    <mergeCell ref="E57:E58"/>
    <mergeCell ref="I61:I63"/>
    <mergeCell ref="J61:J63"/>
    <mergeCell ref="K61:K63"/>
    <mergeCell ref="L61:L63"/>
    <mergeCell ref="B61:B63"/>
    <mergeCell ref="L57:L58"/>
    <mergeCell ref="B59:B60"/>
    <mergeCell ref="D59:D60"/>
    <mergeCell ref="E59:E60"/>
    <mergeCell ref="F59:F60"/>
    <mergeCell ref="G59:G60"/>
    <mergeCell ref="H59:H60"/>
    <mergeCell ref="I59:I60"/>
    <mergeCell ref="J59:J60"/>
    <mergeCell ref="K59:K60"/>
    <mergeCell ref="G57:G58"/>
    <mergeCell ref="H57:H58"/>
    <mergeCell ref="I57:I58"/>
    <mergeCell ref="J57:J58"/>
    <mergeCell ref="K57:K58"/>
    <mergeCell ref="I47:I56"/>
    <mergeCell ref="J47:J56"/>
    <mergeCell ref="K47:K56"/>
    <mergeCell ref="L47:L56"/>
    <mergeCell ref="K41:K43"/>
    <mergeCell ref="L41:L43"/>
    <mergeCell ref="K44:K45"/>
    <mergeCell ref="L44:L45"/>
    <mergeCell ref="J41:J43"/>
    <mergeCell ref="J44:J45"/>
    <mergeCell ref="I41:I43"/>
    <mergeCell ref="I44:I45"/>
    <mergeCell ref="A19:A26"/>
    <mergeCell ref="B21:B22"/>
    <mergeCell ref="D21:D22"/>
    <mergeCell ref="E21:E22"/>
    <mergeCell ref="F21:F22"/>
    <mergeCell ref="J27:J30"/>
    <mergeCell ref="K27:K30"/>
    <mergeCell ref="L27:L30"/>
    <mergeCell ref="L21:L22"/>
    <mergeCell ref="B25:B26"/>
    <mergeCell ref="B27:B30"/>
    <mergeCell ref="D27:D30"/>
    <mergeCell ref="E27:E30"/>
    <mergeCell ref="F27:F30"/>
    <mergeCell ref="G27:G30"/>
    <mergeCell ref="H27:H30"/>
    <mergeCell ref="I27:I30"/>
    <mergeCell ref="G21:G22"/>
    <mergeCell ref="H21:H22"/>
    <mergeCell ref="I21:I22"/>
    <mergeCell ref="J21:J22"/>
    <mergeCell ref="K21:K22"/>
    <mergeCell ref="K4:K7"/>
    <mergeCell ref="L4:L7"/>
    <mergeCell ref="A10:A12"/>
    <mergeCell ref="A13:A14"/>
    <mergeCell ref="A15:A17"/>
    <mergeCell ref="A4:A8"/>
    <mergeCell ref="B4:B7"/>
    <mergeCell ref="C4:C7"/>
    <mergeCell ref="E4:E7"/>
    <mergeCell ref="F4:F7"/>
    <mergeCell ref="G4:G7"/>
    <mergeCell ref="H4:H7"/>
    <mergeCell ref="I4:I7"/>
    <mergeCell ref="J4:J7"/>
    <mergeCell ref="A133:A142"/>
    <mergeCell ref="A143:A156"/>
    <mergeCell ref="A157:A170"/>
    <mergeCell ref="A171:A173"/>
    <mergeCell ref="A174:A197"/>
    <mergeCell ref="A200:A201"/>
    <mergeCell ref="A27:A35"/>
    <mergeCell ref="A36:A37"/>
    <mergeCell ref="A38:A40"/>
    <mergeCell ref="A41:A46"/>
    <mergeCell ref="A47:A66"/>
    <mergeCell ref="A67:A81"/>
    <mergeCell ref="A82:A83"/>
    <mergeCell ref="A84:A93"/>
    <mergeCell ref="A94:A100"/>
    <mergeCell ref="A107:A110"/>
    <mergeCell ref="A111:A121"/>
    <mergeCell ref="A122:A132"/>
    <mergeCell ref="I114:I119"/>
    <mergeCell ref="J114:J119"/>
    <mergeCell ref="K114:K119"/>
    <mergeCell ref="A101:A106"/>
    <mergeCell ref="E105:E106"/>
    <mergeCell ref="H101:H106"/>
    <mergeCell ref="I101:I106"/>
    <mergeCell ref="J101:J106"/>
    <mergeCell ref="K101:K106"/>
    <mergeCell ref="B84:B88"/>
    <mergeCell ref="C84:C88"/>
    <mergeCell ref="F84:F88"/>
    <mergeCell ref="G84:G88"/>
    <mergeCell ref="H84:H88"/>
    <mergeCell ref="B94:B100"/>
    <mergeCell ref="J107:J110"/>
    <mergeCell ref="K107:K110"/>
    <mergeCell ref="C109:C110"/>
    <mergeCell ref="B107:B110"/>
    <mergeCell ref="B101:B106"/>
    <mergeCell ref="B89:B93"/>
    <mergeCell ref="C89:C90"/>
    <mergeCell ref="D89:D91"/>
    <mergeCell ref="E89:E91"/>
    <mergeCell ref="M94:M100"/>
    <mergeCell ref="M101:M106"/>
    <mergeCell ref="M107:M110"/>
    <mergeCell ref="M4:M7"/>
    <mergeCell ref="M21:M22"/>
    <mergeCell ref="M27:M30"/>
    <mergeCell ref="M38:M40"/>
    <mergeCell ref="M41:M43"/>
    <mergeCell ref="M44:M45"/>
    <mergeCell ref="M47:M56"/>
    <mergeCell ref="M57:M58"/>
    <mergeCell ref="M59:M60"/>
    <mergeCell ref="M162:M163"/>
    <mergeCell ref="M168:M170"/>
    <mergeCell ref="M171:M173"/>
    <mergeCell ref="M174:M178"/>
    <mergeCell ref="M179:M182"/>
    <mergeCell ref="M183:M186"/>
    <mergeCell ref="M187:M190"/>
    <mergeCell ref="M195:M197"/>
    <mergeCell ref="A1:M2"/>
    <mergeCell ref="M114:M119"/>
    <mergeCell ref="M122:M131"/>
    <mergeCell ref="M133:M135"/>
    <mergeCell ref="M136:M139"/>
    <mergeCell ref="M140:M142"/>
    <mergeCell ref="M143:M146"/>
    <mergeCell ref="M147:M151"/>
    <mergeCell ref="M152:M155"/>
    <mergeCell ref="M157:M161"/>
    <mergeCell ref="M61:M63"/>
    <mergeCell ref="M67:M76"/>
    <mergeCell ref="M78:M80"/>
    <mergeCell ref="M82:M83"/>
    <mergeCell ref="M84:M88"/>
    <mergeCell ref="M89:M91"/>
  </mergeCells>
  <phoneticPr fontId="5" type="noConversion"/>
  <dataValidations xWindow="567" yWindow="579" count="62">
    <dataValidation type="whole" operator="lessThanOrEqual" allowBlank="1" showInputMessage="1" showErrorMessage="1" errorTitle="许可数不得大于1" error="许可数不得大于1" promptTitle="许可数量约束！！！" prompt="许可数不得大于1" sqref="F202">
      <formula1>1</formula1>
    </dataValidation>
    <dataValidation type="list" allowBlank="1" showInputMessage="1" showErrorMessage="1" sqref="F191:F194 F199:F201 F66 F81 F31 F120:F121 F25:F26 F10 F92:F93 F14:F16 F132">
      <formula1>"1"</formula1>
    </dataValidation>
    <dataValidation type="whole" operator="greaterThanOrEqual" allowBlank="1" showInputMessage="1" showErrorMessage="1" promptTitle="许可数量约束！！！" prompt="NC messager许可数不得小于100！" sqref="F195:F197">
      <formula1>100</formula1>
    </dataValidation>
    <dataValidation type="whole" operator="greaterThanOrEqual" allowBlank="1" showInputMessage="1" showErrorMessage="1" promptTitle="许可数量约束！！！" prompt="合同文本管理许可数不得小于50！" sqref="F187:F190">
      <formula1>50</formula1>
    </dataValidation>
    <dataValidation type="whole" operator="greaterThanOrEqual" allowBlank="1" showInputMessage="1" showErrorMessage="1" promptTitle="许可数量约束！" prompt="增强包许可数量不能小于200个！" sqref="F179:F182">
      <formula1>200</formula1>
    </dataValidation>
    <dataValidation type="whole" operator="greaterThanOrEqual" allowBlank="1" showInputMessage="1" showErrorMessage="1" promptTitle="许可数量约束！" prompt="公文管理许可数量不能小于50个！" sqref="F183:F186">
      <formula1>50</formula1>
    </dataValidation>
    <dataValidation type="whole" operator="greaterThanOrEqual" allowBlank="1" showInputMessage="1" showErrorMessage="1" promptTitle="许可数量约束！" prompt="基础包许可数量不能小于200个！" sqref="F174:F178">
      <formula1>200</formula1>
    </dataValidation>
    <dataValidation type="whole" operator="greaterThanOrEqual" allowBlank="1" showInputMessage="1" showErrorMessage="1" promptTitle="许可数量约束！" prompt="HR自助许可数量不能小于100个！" sqref="F171">
      <formula1>100</formula1>
    </dataValidation>
    <dataValidation type="whole" operator="greaterThanOrEqual" allowBlank="1" showInputMessage="1" showErrorMessage="1" promptTitle="许可数量约束！" prompt="人才发展许可数量不能小于10个！" sqref="F168:F170">
      <formula1>10</formula1>
    </dataValidation>
    <dataValidation type="whole" operator="greaterThanOrEqual" allowBlank="1" showInputMessage="1" showErrorMessage="1" promptTitle="许可数量约束！" prompt="绩效管理许可数量不能小于10个！" sqref="F167">
      <formula1>10</formula1>
    </dataValidation>
    <dataValidation type="whole" operator="greaterThanOrEqual" allowBlank="1" showInputMessage="1" showErrorMessage="1" promptTitle="许可数量约束！" prompt="核心人力资源管理许可数量不能小于10个！" sqref="F157:F161">
      <formula1>10</formula1>
    </dataValidation>
    <dataValidation type="whole" operator="greaterThanOrEqual" allowBlank="1" showInputMessage="1" showErrorMessage="1" promptTitle="许可数量约束！" prompt="薪酬福利许可数量不能小于10个！" sqref="F162:F163">
      <formula1>10</formula1>
    </dataValidation>
    <dataValidation type="whole" operator="greaterThanOrEqual" allowBlank="1" showInputMessage="1" showErrorMessage="1" promptTitle="许可数量约束！" prompt="人力资本规划许可数量不能小于10个！" sqref="F164">
      <formula1>10</formula1>
    </dataValidation>
    <dataValidation type="whole" operator="greaterThanOrEqual" allowBlank="1" showInputMessage="1" showErrorMessage="1" promptTitle="许可数量约束！" prompt="时间管理许可数量不能小于10个！" sqref="F165">
      <formula1>10</formula1>
    </dataValidation>
    <dataValidation type="whole" operator="greaterThanOrEqual" allowBlank="1" showInputMessage="1" showErrorMessage="1" promptTitle="许可数量约束！" prompt="招聘管理许可数量不能小于10个！" sqref="F166">
      <formula1>10</formula1>
    </dataValidation>
    <dataValidation type="whole" operator="greaterThanOrEqual" allowBlank="1" showInputMessage="1" showErrorMessage="1" promptTitle="许可数量约束！" prompt="项目合同许可数量不能小于15个！" sqref="F156">
      <formula1>15</formula1>
    </dataValidation>
    <dataValidation type="whole" operator="greaterThanOrEqual" allowBlank="1" showInputMessage="1" showErrorMessage="1" promptTitle="许可数量约束！" prompt="集团资产管理许可数量不能小于15个！" sqref="F133:F135">
      <formula1>15</formula1>
    </dataValidation>
    <dataValidation type="whole" operator="greaterThanOrEqual" allowBlank="1" showInputMessage="1" showErrorMessage="1" promptTitle="许可数量约束！" prompt="资产租赁管理许可数量不能小于5个！" sqref="F136:F139">
      <formula1>5</formula1>
    </dataValidation>
    <dataValidation type="whole" operator="greaterThanOrEqual" allowBlank="1" showInputMessage="1" showErrorMessage="1" promptTitle="许可数量约束！" prompt="资产维修维护许可数量不能小于15个！" sqref="F140:F142">
      <formula1>15</formula1>
    </dataValidation>
    <dataValidation type="whole" operator="greaterThanOrEqual" allowBlank="1" showInputMessage="1" showErrorMessage="1" promptTitle="许可数量约束！" prompt="生产制造许可数量不能小于20个！" sqref="F122">
      <formula1>20</formula1>
    </dataValidation>
    <dataValidation type="whole" operator="greaterThanOrEqual" allowBlank="1" showInputMessage="1" showErrorMessage="1" promptTitle="许可数量约束！" prompt="项目立项许可数量不能小于15个！" sqref="F143:F146">
      <formula1>15</formula1>
    </dataValidation>
    <dataValidation type="whole" operator="greaterThanOrEqual" allowBlank="1" showInputMessage="1" showErrorMessage="1" promptTitle="许可数量约束！" prompt="项目过程许可数量不能小于15个！" sqref="F152:F155">
      <formula1>15</formula1>
    </dataValidation>
    <dataValidation type="whole" operator="greaterThanOrEqual" allowBlank="1" showInputMessage="1" showErrorMessage="1" promptTitle="许可数量约束！" prompt="工程成本许可数量不能小于15个！" sqref="F147:F151">
      <formula1>15</formula1>
    </dataValidation>
    <dataValidation type="whole" operator="greaterThanOrEqual" allowBlank="1" showInputMessage="1" showErrorMessage="1" promptTitle="许可数量约束！" prompt="进出口许可数量不能小于15个！" sqref="F101:F106">
      <formula1>15</formula1>
    </dataValidation>
    <dataValidation type="whole" operator="greaterThanOrEqual" allowBlank="1" showInputMessage="1" showErrorMessage="1" promptTitle="许可数量约束！" prompt="客户要货计划许可数量不能小于10个！" sqref="F113">
      <formula1>10</formula1>
    </dataValidation>
    <dataValidation type="whole" operator="greaterThanOrEqual" allowBlank="1" showInputMessage="1" showErrorMessage="1" promptTitle="许可数量约束！" prompt="电子销售许可数量不能小于10个！" sqref="F111">
      <formula1>10</formula1>
    </dataValidation>
    <dataValidation type="whole" operator="greaterThanOrEqual" allowBlank="1" showInputMessage="1" showErrorMessage="1" promptTitle="许可数量约束！" prompt="经销商门户许可数量不能小于50个！" sqref="F114">
      <formula1>50</formula1>
    </dataValidation>
    <dataValidation type="whole" operator="greaterThanOrEqual" allowBlank="1" showInputMessage="1" showErrorMessage="1" promptTitle="许可数量约束！" prompt="渠道拜访许可数量不得小于10！" sqref="F107">
      <formula1>10</formula1>
    </dataValidation>
    <dataValidation type="whole" operator="greaterThanOrEqual" allowBlank="1" showInputMessage="1" showErrorMessage="1" promptTitle="许可数量约束！" prompt="电子采购许可数量不能小于5个！" sqref="F89:F91">
      <formula1>5</formula1>
    </dataValidation>
    <dataValidation type="whole" operator="greaterThanOrEqual" allowBlank="1" showInputMessage="1" showErrorMessage="1" promptTitle="许可数量约束！" prompt="销售分销许可数量不能小于20个！" sqref="F94">
      <formula1>20</formula1>
    </dataValidation>
    <dataValidation type="whole" operator="greaterThanOrEqual" allowBlank="1" showInputMessage="1" showErrorMessage="1" promptTitle="许可数量约束！" prompt="供应商管理许可数量不能小于10个！" sqref="F82:F83">
      <formula1>10</formula1>
    </dataValidation>
    <dataValidation type="whole" operator="greaterThanOrEqual" allowBlank="1" showInputMessage="1" showErrorMessage="1" promptTitle="许可数量约束！" prompt="供应商门户许可数量不能小于50个！" sqref="F84">
      <formula1>50</formula1>
    </dataValidation>
    <dataValidation type="whole" operator="greaterThanOrEqual" allowBlank="1" showInputMessage="1" showErrorMessage="1" promptTitle="许可数量约束！" prompt="资金分析许可数量不能小于15个！" sqref="F64">
      <formula1>15</formula1>
    </dataValidation>
    <dataValidation type="whole" operator="greaterThanOrEqual" allowBlank="1" showInputMessage="1" showErrorMessage="1" errorTitle="警告" error="请输入大于等于10的整数！" promptTitle="许可数量约束！" prompt="项目成本许可数量不能小于5个！" sqref="F46">
      <formula1>5</formula1>
    </dataValidation>
    <dataValidation type="whole" operator="greaterThanOrEqual" allowBlank="1" showInputMessage="1" showErrorMessage="1" errorTitle="警告" error="请输入大于等于10的整数！" promptTitle="许可数量约束！" prompt="企业资金管理许可数量不能小于15个！" sqref="F47:F56">
      <formula1>15</formula1>
    </dataValidation>
    <dataValidation type="whole" operator="greaterThanOrEqual" allowBlank="1" showInputMessage="1" showErrorMessage="1" promptTitle="许可数量约束！" prompt="资金计划许可数量不能小于15个！" sqref="F57:F58">
      <formula1>15</formula1>
    </dataValidation>
    <dataValidation type="whole" operator="greaterThanOrEqual" allowBlank="1" showInputMessage="1" showErrorMessage="1" promptTitle="许可数量约束！" prompt="资金调度许可数量不能小于15个！" sqref="F59:F60">
      <formula1>15</formula1>
    </dataValidation>
    <dataValidation type="whole" operator="greaterThanOrEqual" allowBlank="1" showInputMessage="1" showErrorMessage="1" errorTitle="警告：" error="请输入大于等于10的整数！" promptTitle="许可数量约束！" prompt="结算中心许可数量不能小于15个！" sqref="F61:F63">
      <formula1>15</formula1>
    </dataValidation>
    <dataValidation type="whole" operator="greaterThanOrEqual" allowBlank="1" showInputMessage="1" showErrorMessage="1" promptTitle="许可数量约束！" prompt="多结算中心许可数量不能小于2个！" sqref="F65">
      <formula1>2</formula1>
    </dataValidation>
    <dataValidation type="whole" operator="greaterThanOrEqual" allowBlank="1" showInputMessage="1" showErrorMessage="1" promptTitle="许可数量约束！" prompt="物料管理许可数量不能小于20个！" sqref="F67:F76">
      <formula1>20</formula1>
    </dataValidation>
    <dataValidation type="whole" operator="greaterThanOrEqual" allowBlank="1" showInputMessage="1" showErrorMessage="1" promptTitle="许可数量约束" prompt="条码管理许可数不得小于5！" sqref="F77">
      <formula1>5</formula1>
    </dataValidation>
    <dataValidation type="whole" operator="greaterThanOrEqual" allowBlank="1" showInputMessage="1" showErrorMessage="1" promptTitle="许可数量约束！" prompt="无线设备接口许可数不得小于5！" sqref="F78:F80">
      <formula1>5</formula1>
    </dataValidation>
    <dataValidation type="whole" operator="greaterThanOrEqual" allowBlank="1" showInputMessage="1" showErrorMessage="1" promptTitle="许可数量约束！" prompt="费用预算许可数量不能小于10个！" sqref="F37">
      <formula1>10</formula1>
    </dataValidation>
    <dataValidation type="whole" operator="greaterThanOrEqual" allowBlank="1" showInputMessage="1" showErrorMessage="1" promptTitle="许可数量约束！" prompt="费用管理许可数量不能小于10个！" sqref="F36">
      <formula1>10</formula1>
    </dataValidation>
    <dataValidation type="custom" operator="greaterThanOrEqual" allowBlank="1" showInputMessage="1" showErrorMessage="1" errorTitle="警告" error="请输入10的倍数！" promptTitle="许可数量约束！" prompt="请输入10的倍数！" sqref="F33:F35">
      <formula1>MOD(F33,10)=0</formula1>
    </dataValidation>
    <dataValidation type="whole" operator="greaterThanOrEqual" allowBlank="1" showInputMessage="1" showErrorMessage="1" promptTitle="许可数量约束！" prompt="欧盟VAT报表许可数量不能小于5个！" sqref="F32">
      <formula1>5</formula1>
    </dataValidation>
    <dataValidation type="whole" operator="greaterThanOrEqual" allowBlank="1" showInputMessage="1" showErrorMessage="1" promptTitle="许可数量约束！" prompt="许可数量不能小于5个！" sqref="F24">
      <formula1>5</formula1>
    </dataValidation>
    <dataValidation type="whole" operator="greaterThanOrEqual" allowBlank="1" showInputMessage="1" showErrorMessage="1" errorTitle="警告：" error="请输入大于等于2的整数。" promptTitle="许可数量约束！" prompt="许可数量不能小于2个！" sqref="F18">
      <formula1>2</formula1>
    </dataValidation>
    <dataValidation type="whole" operator="greaterThanOrEqual" allowBlank="1" showInputMessage="1" showErrorMessage="1" promptTitle="许可数量约束！" prompt="全面预算许可数量不能小于15个！" sqref="F19">
      <formula1>15</formula1>
    </dataValidation>
    <dataValidation type="whole" operator="greaterThanOrEqual" allowBlank="1" showInputMessage="1" showErrorMessage="1" promptTitle="许可数量约束！" prompt="集团合并许可数量不能小于2个！" sqref="F21:F22">
      <formula1>2</formula1>
    </dataValidation>
    <dataValidation type="whole" operator="greaterThanOrEqual" allowBlank="1" showInputMessage="1" showErrorMessage="1" promptTitle="许可数量约束！" prompt="企业报表许可数量不能小于10个！" sqref="F23">
      <formula1>10</formula1>
    </dataValidation>
    <dataValidation type="whole" operator="greaterThanOrEqual" allowBlank="1" showInputMessage="1" showErrorMessage="1" promptTitle="许可数量约束！" prompt="财务会计许可数量不能小于20个！" sqref="F27:F30">
      <formula1>20</formula1>
    </dataValidation>
    <dataValidation type="whole" operator="greaterThanOrEqual" allowBlank="1" showInputMessage="1" showErrorMessage="1" promptTitle="许可数量约束！" prompt="预算Excel端许可数量不能小于5个！" sqref="F20">
      <formula1>5</formula1>
    </dataValidation>
    <dataValidation type="whole" operator="greaterThanOrEqual" allowBlank="1" showInputMessage="1" showErrorMessage="1" promptTitle="许可数量约束！" prompt="门户集成许可数量不能小于2个！" sqref="F12">
      <formula1>2</formula1>
    </dataValidation>
    <dataValidation type="whole" operator="greaterThanOrEqual" allowBlank="1" showInputMessage="1" showErrorMessage="1" promptTitle="许可数量约束！" prompt="自由表单许可数量不能小于2个！" sqref="F13">
      <formula1>2</formula1>
    </dataValidation>
    <dataValidation type="whole" operator="greaterThanOrEqual" allowBlank="1" showInputMessage="1" showErrorMessage="1" promptTitle="许可数量约束！" prompt="ESBExpress许可数量不能小于2个！" sqref="F11">
      <formula1>2</formula1>
    </dataValidation>
    <dataValidation type="whole" operator="greaterThanOrEqual" allowBlank="1" showInputMessage="1" showErrorMessage="1" errorTitle="警告：" error="请输入大于等于2的整数。" promptTitle="许可数量约束！" prompt="报表平台许可数量不能小于2个！" sqref="F8">
      <formula1>2</formula1>
    </dataValidation>
    <dataValidation type="whole" operator="greaterThanOrEqual" allowBlank="1" showInputMessage="1" showErrorMessage="1" errorTitle="警告：" error="请输入大于等于4的整数。" promptTitle="许可数量约束！" prompt="NMC智能监控许可数量不能小于4个！" sqref="F9">
      <formula1>4</formula1>
    </dataValidation>
    <dataValidation type="whole" operator="greaterThanOrEqual" allowBlank="1" showInputMessage="1" showErrorMessage="1" promptTitle="许可数量约束！" prompt="网上报账许可数量不能小于100个！" sqref="F38:F40">
      <formula1>100</formula1>
    </dataValidation>
    <dataValidation type="whole" operator="greaterThanOrEqual" allowBlank="1" showInputMessage="1" showErrorMessage="1" errorTitle="警告" error="请输入大于等于10的整数！" promptTitle="许可数量约束！" prompt="利润中心许可数量不能小于5个！" sqref="F41:F43">
      <formula1>5</formula1>
    </dataValidation>
    <dataValidation type="whole" operator="greaterThanOrEqual" allowBlank="1" showInputMessage="1" showErrorMessage="1" errorTitle="警告" error="请输入大于等于10的整数！" promptTitle="许可数量约束！" prompt="产品成本许可数量不能小于5个！" sqref="F44:F45">
      <formula1>5</formula1>
    </dataValidation>
    <dataValidation type="whole" operator="greaterThanOrEqual" allowBlank="1" showInputMessage="1" showErrorMessage="1" error="工单许可数量不得小于5！" promptTitle="许可数量约束！" prompt="工单许可数量不得小于5！" sqref="F17">
      <formula1>5</formula1>
    </dataValidation>
  </dataValidations>
  <pageMargins left="0.70866141732283472" right="0.70866141732283472" top="0.74803149606299213" bottom="0.74803149606299213" header="0.31496062992125984" footer="0.31496062992125984"/>
  <pageSetup paperSize="9" orientation="landscape" r:id="rId1"/>
  <ignoredErrors>
    <ignoredError sqref="G10 K32" formula="1"/>
    <ignoredError sqref="G5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658"/>
  <sheetViews>
    <sheetView tabSelected="1" workbookViewId="0">
      <selection activeCell="H23" sqref="H23:H28"/>
    </sheetView>
  </sheetViews>
  <sheetFormatPr defaultRowHeight="14.25"/>
  <cols>
    <col min="1" max="1" width="11.375" style="58" customWidth="1"/>
    <col min="2" max="2" width="14.75" style="111" customWidth="1"/>
    <col min="3" max="3" width="18.125" style="58" customWidth="1"/>
    <col min="4" max="4" width="9.5" style="1" bestFit="1" customWidth="1"/>
    <col min="5" max="5" width="8.75" style="1" customWidth="1"/>
    <col min="6" max="6" width="12.75" style="4" bestFit="1" customWidth="1"/>
    <col min="7" max="7" width="8.375" style="16" customWidth="1"/>
    <col min="8" max="8" width="8.875" style="1" bestFit="1" customWidth="1"/>
    <col min="9" max="9" width="12.25" style="59" customWidth="1"/>
    <col min="10" max="10" width="9.5" style="57" customWidth="1"/>
    <col min="11" max="11" width="9.875" style="60" customWidth="1"/>
    <col min="12" max="12" width="8" style="1" customWidth="1"/>
    <col min="13" max="13" width="9.125" style="1" customWidth="1"/>
    <col min="14" max="14" width="24.25" style="61" customWidth="1"/>
    <col min="15" max="15" width="19.375" style="1" customWidth="1"/>
    <col min="16" max="16384" width="9" style="1"/>
  </cols>
  <sheetData>
    <row r="1" spans="1:15" ht="34.5" thickBot="1">
      <c r="A1" s="1054" t="s">
        <v>0</v>
      </c>
      <c r="B1" s="1055"/>
      <c r="C1" s="1055"/>
      <c r="D1" s="1055"/>
      <c r="E1" s="1055"/>
      <c r="F1" s="1055"/>
      <c r="G1" s="1055"/>
      <c r="H1" s="1055"/>
      <c r="I1" s="1055"/>
      <c r="J1" s="1055"/>
      <c r="K1" s="1055"/>
      <c r="L1" s="1055"/>
      <c r="M1" s="1055"/>
      <c r="N1" s="1055"/>
      <c r="O1" s="1055"/>
    </row>
    <row r="2" spans="1:15" s="2" customFormat="1" ht="30" customHeight="1" thickBot="1">
      <c r="A2" s="180" t="s">
        <v>1</v>
      </c>
      <c r="B2" s="181" t="s">
        <v>496</v>
      </c>
      <c r="C2" s="182" t="s">
        <v>2</v>
      </c>
      <c r="D2" s="182" t="s">
        <v>3</v>
      </c>
      <c r="E2" s="183" t="s">
        <v>4</v>
      </c>
      <c r="F2" s="182" t="s">
        <v>5</v>
      </c>
      <c r="G2" s="182" t="s">
        <v>6</v>
      </c>
      <c r="H2" s="182" t="s">
        <v>7</v>
      </c>
      <c r="I2" s="184" t="s">
        <v>8</v>
      </c>
      <c r="J2" s="185" t="s">
        <v>9</v>
      </c>
      <c r="K2" s="186" t="s">
        <v>10</v>
      </c>
      <c r="L2" s="182" t="s">
        <v>11</v>
      </c>
      <c r="M2" s="187" t="s">
        <v>12</v>
      </c>
      <c r="N2" s="188" t="s">
        <v>14</v>
      </c>
      <c r="O2" s="187" t="s">
        <v>13</v>
      </c>
    </row>
    <row r="3" spans="1:15" ht="48">
      <c r="A3" s="1091" t="s">
        <v>15</v>
      </c>
      <c r="B3" s="1098" t="s">
        <v>235</v>
      </c>
      <c r="C3" s="118" t="s">
        <v>15</v>
      </c>
      <c r="D3" s="119">
        <v>30</v>
      </c>
      <c r="E3" s="120">
        <v>1</v>
      </c>
      <c r="F3" s="121" t="s">
        <v>16</v>
      </c>
      <c r="G3" s="122" t="s">
        <v>16</v>
      </c>
      <c r="H3" s="123" t="s">
        <v>16</v>
      </c>
      <c r="I3" s="38">
        <f>IF(E3=1,D3,0)</f>
        <v>30</v>
      </c>
      <c r="J3" s="39" t="s">
        <v>16</v>
      </c>
      <c r="K3" s="40" t="s">
        <v>17</v>
      </c>
      <c r="L3" s="124" t="s">
        <v>18</v>
      </c>
      <c r="M3" s="125"/>
      <c r="N3" s="397"/>
      <c r="O3" s="398" t="s">
        <v>19</v>
      </c>
    </row>
    <row r="4" spans="1:15" ht="81.75" customHeight="1">
      <c r="A4" s="1092"/>
      <c r="B4" s="1099"/>
      <c r="C4" s="279" t="s">
        <v>20</v>
      </c>
      <c r="D4" s="297">
        <v>20</v>
      </c>
      <c r="E4" s="379"/>
      <c r="F4" s="358" t="s">
        <v>16</v>
      </c>
      <c r="G4" s="361">
        <v>5</v>
      </c>
      <c r="H4" s="372"/>
      <c r="I4" s="363">
        <f>IF(AND(E4=1,H4&gt;0),D4*E4+G4*(H4-2),0)</f>
        <v>0</v>
      </c>
      <c r="J4" s="347">
        <v>2</v>
      </c>
      <c r="K4" s="351" t="s">
        <v>21</v>
      </c>
      <c r="L4" s="373" t="s">
        <v>22</v>
      </c>
      <c r="M4" s="374" t="str">
        <f>IF(H4&lt;2,"许可没有达到最低要求","SUCCESS")</f>
        <v>许可没有达到最低要求</v>
      </c>
      <c r="N4" s="370"/>
      <c r="O4" s="546" t="s">
        <v>23</v>
      </c>
    </row>
    <row r="5" spans="1:15" s="4" customFormat="1" ht="61.5" customHeight="1">
      <c r="A5" s="360" t="s">
        <v>24</v>
      </c>
      <c r="B5" s="367" t="s">
        <v>245</v>
      </c>
      <c r="C5" s="279" t="s">
        <v>25</v>
      </c>
      <c r="D5" s="297">
        <v>50</v>
      </c>
      <c r="E5" s="379"/>
      <c r="F5" s="358" t="s">
        <v>16</v>
      </c>
      <c r="G5" s="3">
        <v>10</v>
      </c>
      <c r="H5" s="372"/>
      <c r="I5" s="363">
        <f>IF(AND(E5=1,H5&gt;0),D5*E5+G5*(H5-4),0)</f>
        <v>0</v>
      </c>
      <c r="J5" s="347">
        <v>4</v>
      </c>
      <c r="K5" s="351" t="s">
        <v>26</v>
      </c>
      <c r="L5" s="373" t="s">
        <v>18</v>
      </c>
      <c r="M5" s="374" t="str">
        <f>IF(H5&lt;4,"许可没有达到最低要求","SUCCESS")</f>
        <v>许可没有达到最低要求</v>
      </c>
      <c r="N5" s="342"/>
      <c r="O5" s="547" t="s">
        <v>27</v>
      </c>
    </row>
    <row r="6" spans="1:15" ht="96">
      <c r="A6" s="1093" t="s">
        <v>31</v>
      </c>
      <c r="B6" s="367" t="s">
        <v>248</v>
      </c>
      <c r="C6" s="279" t="s">
        <v>32</v>
      </c>
      <c r="D6" s="5">
        <v>30</v>
      </c>
      <c r="E6" s="379"/>
      <c r="F6" s="358" t="s">
        <v>16</v>
      </c>
      <c r="G6" s="3" t="s">
        <v>16</v>
      </c>
      <c r="H6" s="6" t="s">
        <v>16</v>
      </c>
      <c r="I6" s="363">
        <f>IF(E6=1,D6*1,0)</f>
        <v>0</v>
      </c>
      <c r="J6" s="7" t="s">
        <v>16</v>
      </c>
      <c r="K6" s="351" t="s">
        <v>33</v>
      </c>
      <c r="L6" s="373" t="s">
        <v>22</v>
      </c>
      <c r="M6" s="373" t="s">
        <v>16</v>
      </c>
      <c r="N6" s="370"/>
      <c r="O6" s="401" t="s">
        <v>34</v>
      </c>
    </row>
    <row r="7" spans="1:15" ht="84">
      <c r="A7" s="1094"/>
      <c r="B7" s="367" t="s">
        <v>251</v>
      </c>
      <c r="C7" s="279" t="s">
        <v>35</v>
      </c>
      <c r="D7" s="5">
        <v>30</v>
      </c>
      <c r="E7" s="379"/>
      <c r="F7" s="358" t="s">
        <v>16</v>
      </c>
      <c r="G7" s="3">
        <v>10</v>
      </c>
      <c r="H7" s="372"/>
      <c r="I7" s="363">
        <f>IF(AND(E7=1,H7&gt;0),D7*E7+G7*(H7-2),0)</f>
        <v>0</v>
      </c>
      <c r="J7" s="347">
        <v>2</v>
      </c>
      <c r="K7" s="351" t="s">
        <v>26</v>
      </c>
      <c r="L7" s="373" t="s">
        <v>22</v>
      </c>
      <c r="M7" s="374" t="str">
        <f>IF(H7&lt;2,"许可没有达到最低要求","SUCCESS")</f>
        <v>许可没有达到最低要求</v>
      </c>
      <c r="N7" s="370"/>
      <c r="O7" s="402" t="s">
        <v>36</v>
      </c>
    </row>
    <row r="8" spans="1:15" ht="50.25" customHeight="1">
      <c r="A8" s="1094"/>
      <c r="B8" s="367" t="s">
        <v>497</v>
      </c>
      <c r="C8" s="279" t="s">
        <v>37</v>
      </c>
      <c r="D8" s="297">
        <v>60</v>
      </c>
      <c r="E8" s="379"/>
      <c r="F8" s="358" t="s">
        <v>16</v>
      </c>
      <c r="G8" s="371">
        <v>10</v>
      </c>
      <c r="H8" s="372"/>
      <c r="I8" s="363">
        <f>IF(AND(E8=1,H8&gt;0),D8*E8+G8*(H8-2),0)</f>
        <v>0</v>
      </c>
      <c r="J8" s="347">
        <v>2</v>
      </c>
      <c r="K8" s="351" t="s">
        <v>26</v>
      </c>
      <c r="L8" s="373" t="s">
        <v>22</v>
      </c>
      <c r="M8" s="374" t="str">
        <f>IF(H8&lt;2,"许可没有达到最低要求","SUCCESS")</f>
        <v>许可没有达到最低要求</v>
      </c>
      <c r="N8" s="370"/>
      <c r="O8" s="402" t="s">
        <v>38</v>
      </c>
    </row>
    <row r="9" spans="1:15" ht="120" customHeight="1">
      <c r="A9" s="1093" t="s">
        <v>39</v>
      </c>
      <c r="B9" s="367" t="s">
        <v>495</v>
      </c>
      <c r="C9" s="279" t="s">
        <v>495</v>
      </c>
      <c r="D9" s="297">
        <v>15</v>
      </c>
      <c r="E9" s="379"/>
      <c r="F9" s="358" t="s">
        <v>16</v>
      </c>
      <c r="G9" s="371">
        <v>5</v>
      </c>
      <c r="H9" s="372"/>
      <c r="I9" s="363">
        <f>IF(AND(E9=1,H9&gt;0),D9*E9+G9*(H9-2),0)</f>
        <v>0</v>
      </c>
      <c r="J9" s="347">
        <v>2</v>
      </c>
      <c r="K9" s="351" t="s">
        <v>40</v>
      </c>
      <c r="L9" s="373" t="s">
        <v>18</v>
      </c>
      <c r="M9" s="374" t="str">
        <f>IF(H9&lt;2,"许可没有达到最低要求","SUCCESS")</f>
        <v>许可没有达到最低要求</v>
      </c>
      <c r="N9" s="370" t="s">
        <v>42</v>
      </c>
      <c r="O9" s="403" t="s">
        <v>41</v>
      </c>
    </row>
    <row r="10" spans="1:15">
      <c r="A10" s="1093"/>
      <c r="B10" s="367" t="s">
        <v>260</v>
      </c>
      <c r="C10" s="279" t="s">
        <v>43</v>
      </c>
      <c r="D10" s="297">
        <v>5</v>
      </c>
      <c r="E10" s="379"/>
      <c r="F10" s="358" t="s">
        <v>16</v>
      </c>
      <c r="G10" s="371" t="s">
        <v>16</v>
      </c>
      <c r="H10" s="298" t="s">
        <v>16</v>
      </c>
      <c r="I10" s="363">
        <f>IF(E10=1,D10*E10,0)</f>
        <v>0</v>
      </c>
      <c r="J10" s="7" t="s">
        <v>44</v>
      </c>
      <c r="K10" s="351" t="s">
        <v>33</v>
      </c>
      <c r="L10" s="373" t="s">
        <v>18</v>
      </c>
      <c r="M10" s="8" t="s">
        <v>30</v>
      </c>
      <c r="N10" s="370"/>
      <c r="O10" s="399"/>
    </row>
    <row r="11" spans="1:15" ht="18" customHeight="1">
      <c r="A11" s="977" t="s">
        <v>670</v>
      </c>
      <c r="B11" s="381" t="s">
        <v>671</v>
      </c>
      <c r="C11" s="382" t="s">
        <v>671</v>
      </c>
      <c r="D11" s="383">
        <v>30</v>
      </c>
      <c r="E11" s="379"/>
      <c r="F11" s="384" t="s">
        <v>472</v>
      </c>
      <c r="G11" s="385" t="s">
        <v>472</v>
      </c>
      <c r="H11" s="385" t="s">
        <v>472</v>
      </c>
      <c r="I11" s="386">
        <f>IF(E11=1,D11,0)</f>
        <v>0</v>
      </c>
      <c r="J11" s="385" t="s">
        <v>472</v>
      </c>
      <c r="K11" s="387" t="s">
        <v>566</v>
      </c>
      <c r="L11" s="384" t="s">
        <v>22</v>
      </c>
      <c r="M11" s="384" t="s">
        <v>472</v>
      </c>
      <c r="N11" s="388" t="s">
        <v>812</v>
      </c>
      <c r="O11" s="404" t="s">
        <v>810</v>
      </c>
    </row>
    <row r="12" spans="1:15" ht="22.5" customHeight="1">
      <c r="A12" s="1101"/>
      <c r="B12" s="381" t="s">
        <v>673</v>
      </c>
      <c r="C12" s="382" t="s">
        <v>673</v>
      </c>
      <c r="D12" s="383">
        <v>30</v>
      </c>
      <c r="E12" s="379"/>
      <c r="F12" s="384" t="s">
        <v>472</v>
      </c>
      <c r="G12" s="385" t="s">
        <v>472</v>
      </c>
      <c r="H12" s="385" t="s">
        <v>472</v>
      </c>
      <c r="I12" s="386">
        <f>IF(E12=1,D12,0)</f>
        <v>0</v>
      </c>
      <c r="J12" s="385" t="s">
        <v>472</v>
      </c>
      <c r="K12" s="387" t="s">
        <v>566</v>
      </c>
      <c r="L12" s="384" t="s">
        <v>22</v>
      </c>
      <c r="M12" s="384" t="s">
        <v>472</v>
      </c>
      <c r="N12" s="388" t="s">
        <v>811</v>
      </c>
      <c r="O12" s="404" t="s">
        <v>782</v>
      </c>
    </row>
    <row r="13" spans="1:15" ht="21" customHeight="1">
      <c r="A13" s="1101"/>
      <c r="B13" s="381" t="s">
        <v>675</v>
      </c>
      <c r="C13" s="382" t="s">
        <v>675</v>
      </c>
      <c r="D13" s="383">
        <v>20</v>
      </c>
      <c r="E13" s="379"/>
      <c r="F13" s="384" t="s">
        <v>472</v>
      </c>
      <c r="G13" s="384" t="s">
        <v>472</v>
      </c>
      <c r="H13" s="390"/>
      <c r="I13" s="386">
        <f>IF(E13=1,D13*E13,0)</f>
        <v>0</v>
      </c>
      <c r="J13" s="347">
        <v>5</v>
      </c>
      <c r="K13" s="353" t="s">
        <v>28</v>
      </c>
      <c r="L13" s="385" t="s">
        <v>22</v>
      </c>
      <c r="M13" s="384" t="s">
        <v>472</v>
      </c>
      <c r="N13" s="388" t="s">
        <v>751</v>
      </c>
      <c r="O13" s="404" t="s">
        <v>787</v>
      </c>
    </row>
    <row r="14" spans="1:15" ht="15.75" customHeight="1">
      <c r="A14" s="146" t="s">
        <v>45</v>
      </c>
      <c r="B14" s="302" t="s">
        <v>655</v>
      </c>
      <c r="C14" s="332" t="s">
        <v>46</v>
      </c>
      <c r="D14" s="297">
        <v>15</v>
      </c>
      <c r="E14" s="379"/>
      <c r="F14" s="358" t="s">
        <v>16</v>
      </c>
      <c r="G14" s="361">
        <v>7.5</v>
      </c>
      <c r="H14" s="379"/>
      <c r="I14" s="355">
        <f>IF(AND((E14)&gt;=1),D14*E14+G14*(H14-2),0)</f>
        <v>0</v>
      </c>
      <c r="J14" s="347">
        <v>2</v>
      </c>
      <c r="K14" s="353" t="s">
        <v>28</v>
      </c>
      <c r="L14" s="365" t="s">
        <v>22</v>
      </c>
      <c r="M14" s="366" t="str">
        <f>IF(H14&lt;2,"许可没有达到最低要求","SUCCESS")</f>
        <v>许可没有达到最低要求</v>
      </c>
      <c r="N14" s="549" t="s">
        <v>265</v>
      </c>
      <c r="O14" s="403" t="s">
        <v>47</v>
      </c>
    </row>
    <row r="15" spans="1:15" s="4" customFormat="1" ht="17.25" customHeight="1">
      <c r="A15" s="1095" t="s">
        <v>499</v>
      </c>
      <c r="B15" s="1102" t="s">
        <v>500</v>
      </c>
      <c r="C15" s="279" t="s">
        <v>48</v>
      </c>
      <c r="D15" s="297">
        <v>40</v>
      </c>
      <c r="E15" s="379"/>
      <c r="F15" s="1082" t="s">
        <v>16</v>
      </c>
      <c r="G15" s="1087">
        <v>2.5</v>
      </c>
      <c r="H15" s="1078">
        <v>10</v>
      </c>
      <c r="I15" s="1097">
        <f>IF(AND((E15+E16+E17+E18)&gt;=1,H15&gt;0),G15*H15+D15*E15+D16*E16+D17*E17+D18*E18,0)</f>
        <v>50</v>
      </c>
      <c r="J15" s="1065">
        <v>5</v>
      </c>
      <c r="K15" s="1050" t="s">
        <v>28</v>
      </c>
      <c r="L15" s="1068" t="s">
        <v>18</v>
      </c>
      <c r="M15" s="1100" t="str">
        <f>IF(H15&lt;5,"许可没有达到最低要求","SUCCESS")</f>
        <v>SUCCESS</v>
      </c>
      <c r="N15" s="1104" t="s">
        <v>798</v>
      </c>
      <c r="O15" s="1056"/>
    </row>
    <row r="16" spans="1:15" s="4" customFormat="1" ht="17.25" customHeight="1">
      <c r="A16" s="1095"/>
      <c r="B16" s="1102"/>
      <c r="C16" s="279" t="s">
        <v>49</v>
      </c>
      <c r="D16" s="297">
        <v>5</v>
      </c>
      <c r="E16" s="379">
        <v>1</v>
      </c>
      <c r="F16" s="1082"/>
      <c r="G16" s="1087"/>
      <c r="H16" s="1078"/>
      <c r="I16" s="1097"/>
      <c r="J16" s="1065"/>
      <c r="K16" s="1106"/>
      <c r="L16" s="1068"/>
      <c r="M16" s="1100"/>
      <c r="N16" s="1104"/>
      <c r="O16" s="1056"/>
    </row>
    <row r="17" spans="1:15" s="4" customFormat="1" ht="17.25" customHeight="1">
      <c r="A17" s="1095"/>
      <c r="B17" s="1102"/>
      <c r="C17" s="279" t="s">
        <v>50</v>
      </c>
      <c r="D17" s="297">
        <v>20</v>
      </c>
      <c r="E17" s="379">
        <v>1</v>
      </c>
      <c r="F17" s="1082"/>
      <c r="G17" s="1087"/>
      <c r="H17" s="1078"/>
      <c r="I17" s="1097"/>
      <c r="J17" s="1065"/>
      <c r="K17" s="1106"/>
      <c r="L17" s="1068"/>
      <c r="M17" s="1100"/>
      <c r="N17" s="1104"/>
      <c r="O17" s="1056"/>
    </row>
    <row r="18" spans="1:15" s="4" customFormat="1" ht="17.25" customHeight="1">
      <c r="A18" s="1095"/>
      <c r="B18" s="1102"/>
      <c r="C18" s="279" t="s">
        <v>51</v>
      </c>
      <c r="D18" s="297">
        <v>30</v>
      </c>
      <c r="E18" s="379"/>
      <c r="F18" s="1082"/>
      <c r="G18" s="1087"/>
      <c r="H18" s="1078"/>
      <c r="I18" s="1097"/>
      <c r="J18" s="1065"/>
      <c r="K18" s="1106"/>
      <c r="L18" s="1068"/>
      <c r="M18" s="1100"/>
      <c r="N18" s="1104"/>
      <c r="O18" s="1056"/>
    </row>
    <row r="19" spans="1:15" s="4" customFormat="1" ht="17.25" customHeight="1">
      <c r="A19" s="1095"/>
      <c r="B19" s="367" t="s">
        <v>498</v>
      </c>
      <c r="C19" s="279" t="s">
        <v>52</v>
      </c>
      <c r="D19" s="297">
        <v>10</v>
      </c>
      <c r="E19" s="379"/>
      <c r="F19" s="358" t="s">
        <v>16</v>
      </c>
      <c r="G19" s="361">
        <v>2.5</v>
      </c>
      <c r="H19" s="362"/>
      <c r="I19" s="355">
        <f>IF(AND(E19=1,H19&gt;0),D19*E19+G19*(H19-4),0)</f>
        <v>0</v>
      </c>
      <c r="J19" s="347">
        <v>4</v>
      </c>
      <c r="K19" s="353" t="s">
        <v>28</v>
      </c>
      <c r="L19" s="12" t="s">
        <v>22</v>
      </c>
      <c r="M19" s="366" t="str">
        <f>IF(H19&lt;4,"许可没有达到最低要求","SUCCESS")</f>
        <v>许可没有达到最低要求</v>
      </c>
      <c r="N19" s="108" t="s">
        <v>966</v>
      </c>
      <c r="O19" s="399" t="s">
        <v>53</v>
      </c>
    </row>
    <row r="20" spans="1:15" s="4" customFormat="1" ht="17.25" customHeight="1">
      <c r="A20" s="1095"/>
      <c r="B20" s="302" t="s">
        <v>516</v>
      </c>
      <c r="C20" s="332" t="s">
        <v>54</v>
      </c>
      <c r="D20" s="297">
        <v>20</v>
      </c>
      <c r="E20" s="379"/>
      <c r="F20" s="358" t="s">
        <v>16</v>
      </c>
      <c r="G20" s="361">
        <v>4</v>
      </c>
      <c r="H20" s="372"/>
      <c r="I20" s="355">
        <f>IF(AND((E20)&gt;=1,H20&gt;0),D20*E20+G20*(H20-5),0)</f>
        <v>0</v>
      </c>
      <c r="J20" s="347">
        <v>5</v>
      </c>
      <c r="K20" s="11" t="s">
        <v>55</v>
      </c>
      <c r="L20" s="10" t="s">
        <v>22</v>
      </c>
      <c r="M20" s="366" t="str">
        <f>IF(H20&lt;2,"许可没有达到最低要求","SUCCESS")</f>
        <v>许可没有达到最低要求</v>
      </c>
      <c r="N20" s="548" t="s">
        <v>799</v>
      </c>
      <c r="O20" s="403" t="s">
        <v>56</v>
      </c>
    </row>
    <row r="21" spans="1:15" s="4" customFormat="1" ht="17.25" customHeight="1">
      <c r="A21" s="1096"/>
      <c r="B21" s="367" t="s">
        <v>517</v>
      </c>
      <c r="C21" s="279" t="s">
        <v>57</v>
      </c>
      <c r="D21" s="297">
        <v>30</v>
      </c>
      <c r="E21" s="379"/>
      <c r="F21" s="358" t="s">
        <v>16</v>
      </c>
      <c r="G21" s="361" t="s">
        <v>30</v>
      </c>
      <c r="H21" s="361" t="s">
        <v>30</v>
      </c>
      <c r="I21" s="355">
        <f>IF(E21=1,D21*E21,0)</f>
        <v>0</v>
      </c>
      <c r="J21" s="13" t="s">
        <v>16</v>
      </c>
      <c r="K21" s="353" t="s">
        <v>33</v>
      </c>
      <c r="L21" s="365" t="s">
        <v>29</v>
      </c>
      <c r="M21" s="14" t="s">
        <v>16</v>
      </c>
      <c r="N21" s="342"/>
      <c r="O21" s="399"/>
    </row>
    <row r="22" spans="1:15" s="4" customFormat="1" ht="18" customHeight="1">
      <c r="A22" s="1096"/>
      <c r="B22" s="367" t="s">
        <v>518</v>
      </c>
      <c r="C22" s="279" t="s">
        <v>58</v>
      </c>
      <c r="D22" s="297">
        <v>15</v>
      </c>
      <c r="E22" s="379"/>
      <c r="F22" s="358" t="s">
        <v>16</v>
      </c>
      <c r="G22" s="361" t="s">
        <v>30</v>
      </c>
      <c r="H22" s="361" t="s">
        <v>30</v>
      </c>
      <c r="I22" s="355">
        <f>IF(E22=1,D22*E22,0)</f>
        <v>0</v>
      </c>
      <c r="J22" s="13" t="s">
        <v>16</v>
      </c>
      <c r="K22" s="353" t="s">
        <v>33</v>
      </c>
      <c r="L22" s="365" t="s">
        <v>29</v>
      </c>
      <c r="M22" s="14" t="s">
        <v>16</v>
      </c>
      <c r="N22" s="548" t="s">
        <v>813</v>
      </c>
      <c r="O22" s="399"/>
    </row>
    <row r="23" spans="1:15" ht="14.25" customHeight="1">
      <c r="A23" s="1103" t="s">
        <v>501</v>
      </c>
      <c r="B23" s="1085" t="s">
        <v>502</v>
      </c>
      <c r="C23" s="279" t="s">
        <v>59</v>
      </c>
      <c r="D23" s="297">
        <v>5</v>
      </c>
      <c r="E23" s="379">
        <v>1</v>
      </c>
      <c r="F23" s="1082" t="s">
        <v>16</v>
      </c>
      <c r="G23" s="1087">
        <v>1.8</v>
      </c>
      <c r="H23" s="1078">
        <v>50</v>
      </c>
      <c r="I23" s="1079">
        <f>IF(AND((E23+E24+E25+E26+E27+E28)&gt;=1,H23&gt;0),G23*H23+D23*E23+D24*E24+D25*E25+D26*E26+D27*E27+D28*E28,0)</f>
        <v>105</v>
      </c>
      <c r="J23" s="1065">
        <v>5</v>
      </c>
      <c r="K23" s="1089" t="s">
        <v>28</v>
      </c>
      <c r="L23" s="1090" t="s">
        <v>18</v>
      </c>
      <c r="M23" s="1069" t="str">
        <f>IF(H23&lt;5,"许可没有达到最低要求","SUCCESS")</f>
        <v>SUCCESS</v>
      </c>
      <c r="N23" s="1105" t="s">
        <v>814</v>
      </c>
      <c r="O23" s="1059"/>
    </row>
    <row r="24" spans="1:15">
      <c r="A24" s="1103"/>
      <c r="B24" s="1085"/>
      <c r="C24" s="279" t="s">
        <v>60</v>
      </c>
      <c r="D24" s="297">
        <v>5</v>
      </c>
      <c r="E24" s="379"/>
      <c r="F24" s="1082"/>
      <c r="G24" s="1087"/>
      <c r="H24" s="1078"/>
      <c r="I24" s="1079"/>
      <c r="J24" s="1065"/>
      <c r="K24" s="1089"/>
      <c r="L24" s="1090"/>
      <c r="M24" s="1069"/>
      <c r="N24" s="1105"/>
      <c r="O24" s="1059"/>
    </row>
    <row r="25" spans="1:15">
      <c r="A25" s="1103"/>
      <c r="B25" s="1085"/>
      <c r="C25" s="279" t="s">
        <v>61</v>
      </c>
      <c r="D25" s="297">
        <v>5</v>
      </c>
      <c r="E25" s="379"/>
      <c r="F25" s="1082"/>
      <c r="G25" s="1087"/>
      <c r="H25" s="1078"/>
      <c r="I25" s="1079"/>
      <c r="J25" s="1065"/>
      <c r="K25" s="1089"/>
      <c r="L25" s="1090"/>
      <c r="M25" s="1069"/>
      <c r="N25" s="1105"/>
      <c r="O25" s="1059"/>
    </row>
    <row r="26" spans="1:15">
      <c r="A26" s="1103"/>
      <c r="B26" s="1085"/>
      <c r="C26" s="279" t="s">
        <v>62</v>
      </c>
      <c r="D26" s="297">
        <v>5</v>
      </c>
      <c r="E26" s="379"/>
      <c r="F26" s="1082"/>
      <c r="G26" s="1087"/>
      <c r="H26" s="1078"/>
      <c r="I26" s="1079"/>
      <c r="J26" s="1065"/>
      <c r="K26" s="1089"/>
      <c r="L26" s="1090"/>
      <c r="M26" s="1069"/>
      <c r="N26" s="1105"/>
      <c r="O26" s="1059"/>
    </row>
    <row r="27" spans="1:15">
      <c r="A27" s="1103"/>
      <c r="B27" s="1085"/>
      <c r="C27" s="279" t="s">
        <v>63</v>
      </c>
      <c r="D27" s="297">
        <v>10</v>
      </c>
      <c r="E27" s="379">
        <v>1</v>
      </c>
      <c r="F27" s="1082"/>
      <c r="G27" s="1087"/>
      <c r="H27" s="1078"/>
      <c r="I27" s="1079"/>
      <c r="J27" s="1065"/>
      <c r="K27" s="1089"/>
      <c r="L27" s="1090"/>
      <c r="M27" s="1069"/>
      <c r="N27" s="1105"/>
      <c r="O27" s="1059"/>
    </row>
    <row r="28" spans="1:15">
      <c r="A28" s="1103"/>
      <c r="B28" s="1085"/>
      <c r="C28" s="279" t="s">
        <v>65</v>
      </c>
      <c r="D28" s="297">
        <v>20</v>
      </c>
      <c r="E28" s="379"/>
      <c r="F28" s="1082"/>
      <c r="G28" s="1087"/>
      <c r="H28" s="1078"/>
      <c r="I28" s="1079"/>
      <c r="J28" s="1065"/>
      <c r="K28" s="1089"/>
      <c r="L28" s="1090"/>
      <c r="M28" s="1069"/>
      <c r="N28" s="1105"/>
      <c r="O28" s="1059"/>
    </row>
    <row r="29" spans="1:15" ht="21.75" customHeight="1">
      <c r="A29" s="1103"/>
      <c r="B29" s="1085"/>
      <c r="C29" s="9" t="s">
        <v>660</v>
      </c>
      <c r="D29" s="297">
        <v>30</v>
      </c>
      <c r="E29" s="19"/>
      <c r="F29" s="105" t="s">
        <v>661</v>
      </c>
      <c r="G29" s="297" t="s">
        <v>657</v>
      </c>
      <c r="H29" s="297" t="s">
        <v>657</v>
      </c>
      <c r="I29" s="20">
        <f>IF(E29=1,D29*E29,0)</f>
        <v>0</v>
      </c>
      <c r="J29" s="117" t="s">
        <v>661</v>
      </c>
      <c r="K29" s="11" t="s">
        <v>33</v>
      </c>
      <c r="L29" s="10" t="s">
        <v>662</v>
      </c>
      <c r="M29" s="175" t="s">
        <v>661</v>
      </c>
      <c r="N29" s="108"/>
      <c r="O29" s="403" t="s">
        <v>663</v>
      </c>
    </row>
    <row r="30" spans="1:15" ht="47.25" customHeight="1">
      <c r="A30" s="1103"/>
      <c r="B30" s="367" t="s">
        <v>519</v>
      </c>
      <c r="C30" s="279" t="s">
        <v>68</v>
      </c>
      <c r="D30" s="361">
        <v>20</v>
      </c>
      <c r="E30" s="379"/>
      <c r="F30" s="358" t="s">
        <v>16</v>
      </c>
      <c r="G30" s="361">
        <v>3</v>
      </c>
      <c r="H30" s="362"/>
      <c r="I30" s="355">
        <f>IF(AND(E30=1,H30&gt;=10),D30*E30+(H30-10)/10*3,0)</f>
        <v>0</v>
      </c>
      <c r="J30" s="347">
        <v>10</v>
      </c>
      <c r="K30" s="353" t="s">
        <v>69</v>
      </c>
      <c r="L30" s="365" t="s">
        <v>22</v>
      </c>
      <c r="M30" s="15" t="s">
        <v>16</v>
      </c>
      <c r="N30" s="370" t="s">
        <v>71</v>
      </c>
      <c r="O30" s="405" t="s">
        <v>70</v>
      </c>
    </row>
    <row r="31" spans="1:15" ht="84">
      <c r="A31" s="1103"/>
      <c r="B31" s="367" t="s">
        <v>520</v>
      </c>
      <c r="C31" s="279" t="s">
        <v>72</v>
      </c>
      <c r="D31" s="361">
        <v>20</v>
      </c>
      <c r="E31" s="379"/>
      <c r="F31" s="358" t="s">
        <v>16</v>
      </c>
      <c r="G31" s="361">
        <v>3</v>
      </c>
      <c r="H31" s="362"/>
      <c r="I31" s="355">
        <f>IF(AND(E31=1,H31&gt;=10),D31*E31+(H31-10)/10*3,0)</f>
        <v>0</v>
      </c>
      <c r="J31" s="347">
        <v>10</v>
      </c>
      <c r="K31" s="353" t="s">
        <v>69</v>
      </c>
      <c r="L31" s="365" t="s">
        <v>22</v>
      </c>
      <c r="M31" s="15" t="s">
        <v>16</v>
      </c>
      <c r="N31" s="370" t="s">
        <v>74</v>
      </c>
      <c r="O31" s="405" t="s">
        <v>73</v>
      </c>
    </row>
    <row r="32" spans="1:15" ht="21.75" customHeight="1">
      <c r="A32" s="1103"/>
      <c r="B32" s="367" t="s">
        <v>292</v>
      </c>
      <c r="C32" s="279" t="s">
        <v>75</v>
      </c>
      <c r="D32" s="361">
        <v>20</v>
      </c>
      <c r="E32" s="379"/>
      <c r="F32" s="358" t="s">
        <v>16</v>
      </c>
      <c r="G32" s="361">
        <v>3</v>
      </c>
      <c r="H32" s="362"/>
      <c r="I32" s="355">
        <f>IF(AND(E32=1,H32&gt;=10),D32*E32+(H32-10)/10*3,0)</f>
        <v>0</v>
      </c>
      <c r="J32" s="347">
        <v>10</v>
      </c>
      <c r="K32" s="353" t="s">
        <v>69</v>
      </c>
      <c r="L32" s="365" t="s">
        <v>22</v>
      </c>
      <c r="M32" s="15" t="s">
        <v>30</v>
      </c>
      <c r="N32" s="370" t="s">
        <v>77</v>
      </c>
      <c r="O32" s="405" t="s">
        <v>76</v>
      </c>
    </row>
    <row r="33" spans="1:15" ht="14.25" customHeight="1">
      <c r="A33" s="1103" t="s">
        <v>753</v>
      </c>
      <c r="B33" s="364" t="s">
        <v>64</v>
      </c>
      <c r="C33" s="279" t="s">
        <v>64</v>
      </c>
      <c r="D33" s="297">
        <v>20</v>
      </c>
      <c r="E33" s="379">
        <v>1</v>
      </c>
      <c r="F33" s="358" t="s">
        <v>758</v>
      </c>
      <c r="G33" s="361">
        <v>1.8</v>
      </c>
      <c r="H33" s="362"/>
      <c r="I33" s="355">
        <f>IF(AND((E33)&gt;=1,H33&gt;0),G33*H33+D33*E33,0)</f>
        <v>0</v>
      </c>
      <c r="J33" s="347">
        <v>5</v>
      </c>
      <c r="K33" s="353" t="s">
        <v>55</v>
      </c>
      <c r="L33" s="368" t="s">
        <v>29</v>
      </c>
      <c r="M33" s="354" t="str">
        <f>IF(H33&lt;5,"许可没有达到最低要求","SUCCESS")</f>
        <v>许可没有达到最低要求</v>
      </c>
      <c r="N33" s="370"/>
      <c r="O33" s="405"/>
    </row>
    <row r="34" spans="1:15" ht="14.25" customHeight="1">
      <c r="A34" s="1103"/>
      <c r="B34" s="364" t="s">
        <v>757</v>
      </c>
      <c r="C34" s="279" t="s">
        <v>66</v>
      </c>
      <c r="D34" s="297">
        <v>20</v>
      </c>
      <c r="E34" s="379">
        <v>1</v>
      </c>
      <c r="F34" s="358" t="s">
        <v>16</v>
      </c>
      <c r="G34" s="361">
        <v>1.8</v>
      </c>
      <c r="H34" s="362"/>
      <c r="I34" s="355">
        <f>IF(AND((E34)&gt;=1,H34&gt;0),G34*H34+D34*E34,0)</f>
        <v>0</v>
      </c>
      <c r="J34" s="347">
        <v>5</v>
      </c>
      <c r="K34" s="353" t="s">
        <v>55</v>
      </c>
      <c r="L34" s="368" t="s">
        <v>29</v>
      </c>
      <c r="M34" s="354" t="str">
        <f>IF(H34&lt;5,"许可没有达到最低要求","SUCCESS")</f>
        <v>许可没有达到最低要求</v>
      </c>
      <c r="N34" s="370"/>
      <c r="O34" s="399" t="s">
        <v>67</v>
      </c>
    </row>
    <row r="35" spans="1:15" ht="39" customHeight="1">
      <c r="A35" s="359" t="s">
        <v>185</v>
      </c>
      <c r="B35" s="364" t="s">
        <v>752</v>
      </c>
      <c r="C35" s="279" t="s">
        <v>185</v>
      </c>
      <c r="D35" s="297">
        <v>10</v>
      </c>
      <c r="E35" s="379">
        <v>1</v>
      </c>
      <c r="F35" s="358" t="s">
        <v>16</v>
      </c>
      <c r="G35" s="371">
        <v>0.15</v>
      </c>
      <c r="H35" s="372"/>
      <c r="I35" s="363">
        <f>IF(AND(E35=1,H35&gt;0),D35*E35+G35*H35+H13*G35,0)</f>
        <v>0</v>
      </c>
      <c r="J35" s="347">
        <v>50</v>
      </c>
      <c r="K35" s="351" t="s">
        <v>186</v>
      </c>
      <c r="L35" s="373" t="s">
        <v>18</v>
      </c>
      <c r="M35" s="374" t="str">
        <f>IF(H35&lt;50,"许可没有达到最低要求","SUCCESS")</f>
        <v>许可没有达到最低要求</v>
      </c>
      <c r="N35" s="342"/>
      <c r="O35" s="400" t="s">
        <v>187</v>
      </c>
    </row>
    <row r="36" spans="1:15" ht="14.25" customHeight="1">
      <c r="A36" s="1095" t="s">
        <v>529</v>
      </c>
      <c r="B36" s="1102" t="s">
        <v>538</v>
      </c>
      <c r="C36" s="279" t="s">
        <v>531</v>
      </c>
      <c r="D36" s="297">
        <v>30</v>
      </c>
      <c r="E36" s="379"/>
      <c r="F36" s="1082" t="s">
        <v>491</v>
      </c>
      <c r="G36" s="1087">
        <v>4</v>
      </c>
      <c r="H36" s="1078"/>
      <c r="I36" s="1097">
        <f>IF(AND((E36+E37+E38)&gt;=1,H36&gt;0),D36*E36+D37*E37+D38*E38+G36*H36,0)</f>
        <v>0</v>
      </c>
      <c r="J36" s="1065">
        <v>2</v>
      </c>
      <c r="K36" s="1050" t="s">
        <v>28</v>
      </c>
      <c r="L36" s="1084" t="s">
        <v>492</v>
      </c>
      <c r="M36" s="1107" t="str">
        <f>IF(H36&lt;2,"许可没有达到最低要求","SUCCESS")</f>
        <v>许可没有达到最低要求</v>
      </c>
      <c r="N36" s="1104" t="s">
        <v>569</v>
      </c>
      <c r="O36" s="932" t="s">
        <v>532</v>
      </c>
    </row>
    <row r="37" spans="1:15">
      <c r="A37" s="1095"/>
      <c r="B37" s="1102"/>
      <c r="C37" s="9" t="s">
        <v>533</v>
      </c>
      <c r="D37" s="297">
        <v>15</v>
      </c>
      <c r="E37" s="379"/>
      <c r="F37" s="1082"/>
      <c r="G37" s="1087"/>
      <c r="H37" s="1078"/>
      <c r="I37" s="1097"/>
      <c r="J37" s="1065"/>
      <c r="K37" s="1083"/>
      <c r="L37" s="1084"/>
      <c r="M37" s="1107"/>
      <c r="N37" s="1104"/>
      <c r="O37" s="932"/>
    </row>
    <row r="38" spans="1:15">
      <c r="A38" s="1095"/>
      <c r="B38" s="1102"/>
      <c r="C38" s="9" t="s">
        <v>534</v>
      </c>
      <c r="D38" s="297">
        <v>15</v>
      </c>
      <c r="E38" s="379"/>
      <c r="F38" s="1082"/>
      <c r="G38" s="1088"/>
      <c r="H38" s="1078"/>
      <c r="I38" s="1088"/>
      <c r="J38" s="1065"/>
      <c r="K38" s="1083"/>
      <c r="L38" s="1084"/>
      <c r="M38" s="1083"/>
      <c r="N38" s="1104"/>
      <c r="O38" s="932"/>
    </row>
    <row r="39" spans="1:15">
      <c r="A39" s="1095"/>
      <c r="B39" s="1102" t="s">
        <v>539</v>
      </c>
      <c r="C39" s="144" t="s">
        <v>535</v>
      </c>
      <c r="D39" s="280">
        <v>5</v>
      </c>
      <c r="E39" s="379"/>
      <c r="F39" s="1082" t="s">
        <v>491</v>
      </c>
      <c r="G39" s="1088">
        <v>4</v>
      </c>
      <c r="H39" s="985"/>
      <c r="I39" s="1097">
        <f>IF(AND((E39+E40)&gt;=1,H39&gt;0),D39*E39+D40*E40+G39*H39,0)</f>
        <v>0</v>
      </c>
      <c r="J39" s="1065">
        <v>2</v>
      </c>
      <c r="K39" s="1050" t="s">
        <v>540</v>
      </c>
      <c r="L39" s="1084" t="s">
        <v>492</v>
      </c>
      <c r="M39" s="1107" t="str">
        <f>IF(H39&lt;2,"许可没有达到最低要求","SUCCESS")</f>
        <v>许可没有达到最低要求</v>
      </c>
      <c r="N39" s="1104" t="s">
        <v>536</v>
      </c>
      <c r="O39" s="933"/>
    </row>
    <row r="40" spans="1:15">
      <c r="A40" s="1095"/>
      <c r="B40" s="1102"/>
      <c r="C40" s="145" t="s">
        <v>537</v>
      </c>
      <c r="D40" s="280">
        <v>25</v>
      </c>
      <c r="E40" s="379"/>
      <c r="F40" s="1082"/>
      <c r="G40" s="1088"/>
      <c r="H40" s="985"/>
      <c r="I40" s="1097"/>
      <c r="J40" s="1065"/>
      <c r="K40" s="1050"/>
      <c r="L40" s="1084"/>
      <c r="M40" s="1107"/>
      <c r="N40" s="1104"/>
      <c r="O40" s="933"/>
    </row>
    <row r="41" spans="1:15" ht="36">
      <c r="A41" s="1095"/>
      <c r="B41" s="367" t="s">
        <v>545</v>
      </c>
      <c r="C41" s="517" t="s">
        <v>545</v>
      </c>
      <c r="D41" s="297">
        <v>20</v>
      </c>
      <c r="E41" s="379"/>
      <c r="F41" s="358" t="s">
        <v>472</v>
      </c>
      <c r="G41" s="361">
        <v>4</v>
      </c>
      <c r="H41" s="312"/>
      <c r="I41" s="355">
        <f>IF(AND(E41&gt;=1,H41&gt;0),D41*E41+G41*H41,0)</f>
        <v>0</v>
      </c>
      <c r="J41" s="347">
        <v>2</v>
      </c>
      <c r="K41" s="353" t="s">
        <v>549</v>
      </c>
      <c r="L41" s="192" t="s">
        <v>547</v>
      </c>
      <c r="M41" s="354" t="str">
        <f>IF(H41&lt;2,"许可没有达到最低要求","SUCCESS")</f>
        <v>许可没有达到最低要求</v>
      </c>
      <c r="N41" s="147"/>
      <c r="O41" s="406" t="s">
        <v>548</v>
      </c>
    </row>
    <row r="42" spans="1:15" ht="14.25" customHeight="1">
      <c r="A42" s="1103" t="s">
        <v>78</v>
      </c>
      <c r="B42" s="1085" t="s">
        <v>503</v>
      </c>
      <c r="C42" s="279" t="s">
        <v>79</v>
      </c>
      <c r="D42" s="297">
        <v>10</v>
      </c>
      <c r="E42" s="379"/>
      <c r="F42" s="1082" t="s">
        <v>16</v>
      </c>
      <c r="G42" s="1108">
        <v>2.8</v>
      </c>
      <c r="H42" s="1078"/>
      <c r="I42" s="1079">
        <f>IF(AND((E42+E43+E44+E45+E46+E47+E48+E49+E50+E51+E52+E53+E54+E55+E56+E57+E58)&gt;=1,H42&gt;0),G42*H42+D42*E42+D43*E43+D44*E44+D45*E45+D46*E46+D47*E47+D48*E48+D49*E49+D50*E50+D51*E51+D52*E52+D53*E53+D54*E54+D55*E55+D56*E56+D57*E57+D58*E58,0)</f>
        <v>0</v>
      </c>
      <c r="J42" s="1065">
        <v>5</v>
      </c>
      <c r="K42" s="1089" t="s">
        <v>28</v>
      </c>
      <c r="L42" s="1090" t="s">
        <v>18</v>
      </c>
      <c r="M42" s="1069" t="str">
        <f>IF(H42&lt;5,"许可没有达到最低要求","SUCCESS")</f>
        <v>许可没有达到最低要求</v>
      </c>
      <c r="N42" s="1086" t="s">
        <v>688</v>
      </c>
      <c r="O42" s="1062" t="s">
        <v>687</v>
      </c>
    </row>
    <row r="43" spans="1:15">
      <c r="A43" s="1103"/>
      <c r="B43" s="1085"/>
      <c r="C43" s="279" t="s">
        <v>81</v>
      </c>
      <c r="D43" s="17">
        <v>10</v>
      </c>
      <c r="E43" s="379">
        <v>1</v>
      </c>
      <c r="F43" s="1082"/>
      <c r="G43" s="1108"/>
      <c r="H43" s="1078"/>
      <c r="I43" s="1079"/>
      <c r="J43" s="1065"/>
      <c r="K43" s="1089"/>
      <c r="L43" s="1090"/>
      <c r="M43" s="1069"/>
      <c r="N43" s="1086"/>
      <c r="O43" s="1062"/>
    </row>
    <row r="44" spans="1:15">
      <c r="A44" s="1103"/>
      <c r="B44" s="1085"/>
      <c r="C44" s="279" t="s">
        <v>82</v>
      </c>
      <c r="D44" s="17">
        <v>20</v>
      </c>
      <c r="E44" s="379">
        <v>1</v>
      </c>
      <c r="F44" s="1082"/>
      <c r="G44" s="1108"/>
      <c r="H44" s="1078"/>
      <c r="I44" s="1079"/>
      <c r="J44" s="1065"/>
      <c r="K44" s="1089"/>
      <c r="L44" s="1090"/>
      <c r="M44" s="1069"/>
      <c r="N44" s="1086"/>
      <c r="O44" s="1062"/>
    </row>
    <row r="45" spans="1:15">
      <c r="A45" s="1103"/>
      <c r="B45" s="1085"/>
      <c r="C45" s="279" t="s">
        <v>83</v>
      </c>
      <c r="D45" s="17">
        <v>20</v>
      </c>
      <c r="E45" s="379"/>
      <c r="F45" s="1082"/>
      <c r="G45" s="1108"/>
      <c r="H45" s="1078"/>
      <c r="I45" s="1079"/>
      <c r="J45" s="1065"/>
      <c r="K45" s="1089"/>
      <c r="L45" s="1090"/>
      <c r="M45" s="1069"/>
      <c r="N45" s="1086"/>
      <c r="O45" s="1062"/>
    </row>
    <row r="46" spans="1:15">
      <c r="A46" s="1103"/>
      <c r="B46" s="1085"/>
      <c r="C46" s="279" t="s">
        <v>84</v>
      </c>
      <c r="D46" s="17">
        <v>10</v>
      </c>
      <c r="E46" s="379"/>
      <c r="F46" s="1082"/>
      <c r="G46" s="1108"/>
      <c r="H46" s="1078"/>
      <c r="I46" s="1079"/>
      <c r="J46" s="1065"/>
      <c r="K46" s="1089"/>
      <c r="L46" s="1090"/>
      <c r="M46" s="1069"/>
      <c r="N46" s="1086"/>
      <c r="O46" s="1062"/>
    </row>
    <row r="47" spans="1:15">
      <c r="A47" s="1103"/>
      <c r="B47" s="1085"/>
      <c r="C47" s="279" t="s">
        <v>85</v>
      </c>
      <c r="D47" s="17">
        <v>20</v>
      </c>
      <c r="E47" s="379"/>
      <c r="F47" s="1082"/>
      <c r="G47" s="1108"/>
      <c r="H47" s="1078"/>
      <c r="I47" s="1079"/>
      <c r="J47" s="1065"/>
      <c r="K47" s="1089"/>
      <c r="L47" s="1090"/>
      <c r="M47" s="1069"/>
      <c r="N47" s="1086"/>
      <c r="O47" s="1062"/>
    </row>
    <row r="48" spans="1:15">
      <c r="A48" s="1103"/>
      <c r="B48" s="1085"/>
      <c r="C48" s="279" t="s">
        <v>86</v>
      </c>
      <c r="D48" s="17">
        <v>15</v>
      </c>
      <c r="E48" s="379"/>
      <c r="F48" s="1082"/>
      <c r="G48" s="1108"/>
      <c r="H48" s="1078"/>
      <c r="I48" s="1079"/>
      <c r="J48" s="1065"/>
      <c r="K48" s="1089"/>
      <c r="L48" s="1090"/>
      <c r="M48" s="1069"/>
      <c r="N48" s="1086"/>
      <c r="O48" s="1062"/>
    </row>
    <row r="49" spans="1:15">
      <c r="A49" s="1103"/>
      <c r="B49" s="1085"/>
      <c r="C49" s="279" t="s">
        <v>87</v>
      </c>
      <c r="D49" s="17">
        <v>20</v>
      </c>
      <c r="E49" s="379"/>
      <c r="F49" s="1082"/>
      <c r="G49" s="1108"/>
      <c r="H49" s="1078"/>
      <c r="I49" s="1079"/>
      <c r="J49" s="1065"/>
      <c r="K49" s="1089"/>
      <c r="L49" s="1090"/>
      <c r="M49" s="1069"/>
      <c r="N49" s="1086"/>
      <c r="O49" s="1062"/>
    </row>
    <row r="50" spans="1:15">
      <c r="A50" s="1103"/>
      <c r="B50" s="1085"/>
      <c r="C50" s="279" t="s">
        <v>88</v>
      </c>
      <c r="D50" s="17">
        <v>15</v>
      </c>
      <c r="E50" s="379"/>
      <c r="F50" s="1082"/>
      <c r="G50" s="1108"/>
      <c r="H50" s="1078"/>
      <c r="I50" s="1079"/>
      <c r="J50" s="1065"/>
      <c r="K50" s="1089"/>
      <c r="L50" s="1090"/>
      <c r="M50" s="1069"/>
      <c r="N50" s="1086"/>
      <c r="O50" s="1062"/>
    </row>
    <row r="51" spans="1:15" ht="14.25" customHeight="1">
      <c r="A51" s="1103"/>
      <c r="B51" s="1085"/>
      <c r="C51" s="279" t="s">
        <v>89</v>
      </c>
      <c r="D51" s="17">
        <v>5</v>
      </c>
      <c r="E51" s="379"/>
      <c r="F51" s="1082"/>
      <c r="G51" s="1108"/>
      <c r="H51" s="1078"/>
      <c r="I51" s="1079"/>
      <c r="J51" s="1065"/>
      <c r="K51" s="1089"/>
      <c r="L51" s="1090"/>
      <c r="M51" s="1069"/>
      <c r="N51" s="1086"/>
      <c r="O51" s="1062"/>
    </row>
    <row r="52" spans="1:15">
      <c r="A52" s="1103"/>
      <c r="B52" s="1085"/>
      <c r="C52" s="9" t="s">
        <v>791</v>
      </c>
      <c r="D52" s="17">
        <v>5</v>
      </c>
      <c r="E52" s="379"/>
      <c r="F52" s="1082"/>
      <c r="G52" s="1108"/>
      <c r="H52" s="1078"/>
      <c r="I52" s="1079"/>
      <c r="J52" s="1065"/>
      <c r="K52" s="1089"/>
      <c r="L52" s="1090"/>
      <c r="M52" s="1069"/>
      <c r="N52" s="1086"/>
      <c r="O52" s="1062"/>
    </row>
    <row r="53" spans="1:15">
      <c r="A53" s="1103"/>
      <c r="B53" s="1085"/>
      <c r="C53" s="9" t="s">
        <v>792</v>
      </c>
      <c r="D53" s="17">
        <v>10</v>
      </c>
      <c r="E53" s="379"/>
      <c r="F53" s="1082"/>
      <c r="G53" s="1108"/>
      <c r="H53" s="1078"/>
      <c r="I53" s="1079"/>
      <c r="J53" s="1065"/>
      <c r="K53" s="1089"/>
      <c r="L53" s="1090"/>
      <c r="M53" s="1069"/>
      <c r="N53" s="1086"/>
      <c r="O53" s="1062"/>
    </row>
    <row r="54" spans="1:15">
      <c r="A54" s="1103"/>
      <c r="B54" s="1085"/>
      <c r="C54" s="9" t="s">
        <v>793</v>
      </c>
      <c r="D54" s="17">
        <v>5</v>
      </c>
      <c r="E54" s="379"/>
      <c r="F54" s="1082"/>
      <c r="G54" s="1108"/>
      <c r="H54" s="1078"/>
      <c r="I54" s="1079"/>
      <c r="J54" s="1065"/>
      <c r="K54" s="1089"/>
      <c r="L54" s="1090"/>
      <c r="M54" s="1069"/>
      <c r="N54" s="1086"/>
      <c r="O54" s="1062"/>
    </row>
    <row r="55" spans="1:15">
      <c r="A55" s="1103"/>
      <c r="B55" s="1085"/>
      <c r="C55" s="9" t="s">
        <v>794</v>
      </c>
      <c r="D55" s="17">
        <v>5</v>
      </c>
      <c r="E55" s="379"/>
      <c r="F55" s="1082"/>
      <c r="G55" s="1108"/>
      <c r="H55" s="1078"/>
      <c r="I55" s="1079"/>
      <c r="J55" s="1065"/>
      <c r="K55" s="1089"/>
      <c r="L55" s="1090"/>
      <c r="M55" s="1069"/>
      <c r="N55" s="1086"/>
      <c r="O55" s="1062"/>
    </row>
    <row r="56" spans="1:15">
      <c r="A56" s="1103"/>
      <c r="B56" s="1085"/>
      <c r="C56" s="9" t="s">
        <v>795</v>
      </c>
      <c r="D56" s="17">
        <v>15</v>
      </c>
      <c r="E56" s="379"/>
      <c r="F56" s="1082"/>
      <c r="G56" s="1108"/>
      <c r="H56" s="1078"/>
      <c r="I56" s="1079"/>
      <c r="J56" s="1065"/>
      <c r="K56" s="1089"/>
      <c r="L56" s="1090"/>
      <c r="M56" s="1069"/>
      <c r="N56" s="1086"/>
      <c r="O56" s="1062"/>
    </row>
    <row r="57" spans="1:15">
      <c r="A57" s="1103"/>
      <c r="B57" s="1085"/>
      <c r="C57" s="9" t="s">
        <v>796</v>
      </c>
      <c r="D57" s="17">
        <v>15</v>
      </c>
      <c r="E57" s="379"/>
      <c r="F57" s="1082"/>
      <c r="G57" s="1108"/>
      <c r="H57" s="1078"/>
      <c r="I57" s="1079"/>
      <c r="J57" s="1065"/>
      <c r="K57" s="1089"/>
      <c r="L57" s="1090"/>
      <c r="M57" s="1069"/>
      <c r="N57" s="1086"/>
      <c r="O57" s="1062"/>
    </row>
    <row r="58" spans="1:15">
      <c r="A58" s="1103"/>
      <c r="B58" s="1085"/>
      <c r="C58" s="9" t="s">
        <v>797</v>
      </c>
      <c r="D58" s="17">
        <v>20</v>
      </c>
      <c r="E58" s="379"/>
      <c r="F58" s="1082"/>
      <c r="G58" s="1108"/>
      <c r="H58" s="1078"/>
      <c r="I58" s="1079"/>
      <c r="J58" s="1065"/>
      <c r="K58" s="1089"/>
      <c r="L58" s="1090"/>
      <c r="M58" s="1069"/>
      <c r="N58" s="1086"/>
      <c r="O58" s="1062"/>
    </row>
    <row r="59" spans="1:15" ht="38.25" customHeight="1">
      <c r="A59" s="1103"/>
      <c r="B59" s="357" t="s">
        <v>504</v>
      </c>
      <c r="C59" s="279" t="s">
        <v>316</v>
      </c>
      <c r="D59" s="297">
        <v>10</v>
      </c>
      <c r="E59" s="379"/>
      <c r="F59" s="358" t="s">
        <v>30</v>
      </c>
      <c r="G59" s="361">
        <v>1</v>
      </c>
      <c r="H59" s="362"/>
      <c r="I59" s="355">
        <f>IF(AND((E59)&gt;=1,H59&gt;0),G59*H59+D59*E59,0)</f>
        <v>0</v>
      </c>
      <c r="J59" s="347">
        <v>5</v>
      </c>
      <c r="K59" s="353" t="s">
        <v>55</v>
      </c>
      <c r="L59" s="368" t="s">
        <v>29</v>
      </c>
      <c r="M59" s="354" t="str">
        <f>IF(J59&lt;5,"许可没有达到最低要求","SUCCESS")</f>
        <v>SUCCESS</v>
      </c>
      <c r="N59" s="548" t="s">
        <v>544</v>
      </c>
      <c r="O59" s="399"/>
    </row>
    <row r="60" spans="1:15" ht="108">
      <c r="A60" s="1103"/>
      <c r="B60" s="357" t="s">
        <v>506</v>
      </c>
      <c r="C60" s="279" t="s">
        <v>505</v>
      </c>
      <c r="D60" s="175">
        <v>20</v>
      </c>
      <c r="E60" s="379"/>
      <c r="F60" s="358" t="s">
        <v>16</v>
      </c>
      <c r="G60" s="361">
        <v>20</v>
      </c>
      <c r="H60" s="362"/>
      <c r="I60" s="363">
        <f>IF(AND(E60=1,H60&gt;0),D60*E60+G60*(H60-2),0)</f>
        <v>0</v>
      </c>
      <c r="J60" s="347">
        <v>2</v>
      </c>
      <c r="K60" s="351" t="s">
        <v>90</v>
      </c>
      <c r="L60" s="352" t="s">
        <v>22</v>
      </c>
      <c r="M60" s="349" t="str">
        <f>IF(H60&lt;2,"许可没有达到最低要求","SUCCESS")</f>
        <v>许可没有达到最低要求</v>
      </c>
      <c r="N60" s="391" t="s">
        <v>91</v>
      </c>
      <c r="O60" s="407" t="s">
        <v>689</v>
      </c>
    </row>
    <row r="61" spans="1:15" ht="24">
      <c r="A61" s="1103"/>
      <c r="B61" s="357" t="s">
        <v>507</v>
      </c>
      <c r="C61" s="279" t="s">
        <v>92</v>
      </c>
      <c r="D61" s="17">
        <v>30</v>
      </c>
      <c r="E61" s="379"/>
      <c r="F61" s="358" t="s">
        <v>16</v>
      </c>
      <c r="G61" s="361" t="s">
        <v>16</v>
      </c>
      <c r="H61" s="361" t="s">
        <v>16</v>
      </c>
      <c r="I61" s="363">
        <f>IF(E61=1,D61*E61,0)</f>
        <v>0</v>
      </c>
      <c r="J61" s="7" t="s">
        <v>16</v>
      </c>
      <c r="K61" s="351" t="s">
        <v>33</v>
      </c>
      <c r="L61" s="352" t="s">
        <v>29</v>
      </c>
      <c r="M61" s="14" t="s">
        <v>16</v>
      </c>
      <c r="N61" s="370" t="s">
        <v>93</v>
      </c>
      <c r="O61" s="408"/>
    </row>
    <row r="62" spans="1:15" ht="14.25" customHeight="1">
      <c r="A62" s="1103" t="s">
        <v>94</v>
      </c>
      <c r="B62" s="1085" t="s">
        <v>508</v>
      </c>
      <c r="C62" s="279" t="s">
        <v>95</v>
      </c>
      <c r="D62" s="297">
        <v>5</v>
      </c>
      <c r="E62" s="379"/>
      <c r="F62" s="1082" t="s">
        <v>16</v>
      </c>
      <c r="G62" s="1087">
        <v>2</v>
      </c>
      <c r="H62" s="1078"/>
      <c r="I62" s="1079">
        <f>IF(AND((E62+E63+E64+E65+E66+E67+E68+E69+E70+E71+E72+E73+E74+E75+E76)&gt;=1,H62&gt;0),G62*H62+D62*E62+D63*E63+D64*E64+D65*E65+D66*E66+D67*E67+D68*E68+D69*E69+D70*E70+D71*E71+D72*E72+D73*E73+D74*E74+D75*E75+D76*E76,0)</f>
        <v>0</v>
      </c>
      <c r="J62" s="1065">
        <v>5</v>
      </c>
      <c r="K62" s="1089" t="s">
        <v>55</v>
      </c>
      <c r="L62" s="1090" t="s">
        <v>29</v>
      </c>
      <c r="M62" s="1069" t="str">
        <f>IF(H62&lt;5,"许可没有达到最低要求","SUCCESS")</f>
        <v>许可没有达到最低要求</v>
      </c>
      <c r="N62" s="1104" t="s">
        <v>490</v>
      </c>
      <c r="O62" s="1063" t="s">
        <v>80</v>
      </c>
    </row>
    <row r="63" spans="1:15">
      <c r="A63" s="1103"/>
      <c r="B63" s="1085"/>
      <c r="C63" s="279" t="s">
        <v>96</v>
      </c>
      <c r="D63" s="297">
        <v>10</v>
      </c>
      <c r="E63" s="379"/>
      <c r="F63" s="1082"/>
      <c r="G63" s="1087"/>
      <c r="H63" s="1078"/>
      <c r="I63" s="1079"/>
      <c r="J63" s="1065"/>
      <c r="K63" s="1089"/>
      <c r="L63" s="1090"/>
      <c r="M63" s="1069"/>
      <c r="N63" s="1104"/>
      <c r="O63" s="1063"/>
    </row>
    <row r="64" spans="1:15">
      <c r="A64" s="1103"/>
      <c r="B64" s="1085"/>
      <c r="C64" s="279" t="s">
        <v>97</v>
      </c>
      <c r="D64" s="297">
        <v>10</v>
      </c>
      <c r="E64" s="379">
        <v>1</v>
      </c>
      <c r="F64" s="1082"/>
      <c r="G64" s="1087"/>
      <c r="H64" s="1078"/>
      <c r="I64" s="1079"/>
      <c r="J64" s="1065"/>
      <c r="K64" s="1089"/>
      <c r="L64" s="1090"/>
      <c r="M64" s="1069"/>
      <c r="N64" s="1104"/>
      <c r="O64" s="1063"/>
    </row>
    <row r="65" spans="1:15">
      <c r="A65" s="1103"/>
      <c r="B65" s="1085"/>
      <c r="C65" s="279" t="s">
        <v>98</v>
      </c>
      <c r="D65" s="18">
        <v>10</v>
      </c>
      <c r="E65" s="379"/>
      <c r="F65" s="1082"/>
      <c r="G65" s="1087"/>
      <c r="H65" s="1078"/>
      <c r="I65" s="1079"/>
      <c r="J65" s="1065"/>
      <c r="K65" s="1089"/>
      <c r="L65" s="1090"/>
      <c r="M65" s="1069"/>
      <c r="N65" s="1104"/>
      <c r="O65" s="1063"/>
    </row>
    <row r="66" spans="1:15">
      <c r="A66" s="1103"/>
      <c r="B66" s="1085"/>
      <c r="C66" s="279" t="s">
        <v>99</v>
      </c>
      <c r="D66" s="18">
        <v>10</v>
      </c>
      <c r="E66" s="379"/>
      <c r="F66" s="1082"/>
      <c r="G66" s="1087"/>
      <c r="H66" s="1078"/>
      <c r="I66" s="1079"/>
      <c r="J66" s="1065"/>
      <c r="K66" s="1089"/>
      <c r="L66" s="1090"/>
      <c r="M66" s="1069"/>
      <c r="N66" s="1104"/>
      <c r="O66" s="1063"/>
    </row>
    <row r="67" spans="1:15">
      <c r="A67" s="1103"/>
      <c r="B67" s="1085"/>
      <c r="C67" s="279" t="s">
        <v>100</v>
      </c>
      <c r="D67" s="18">
        <v>10</v>
      </c>
      <c r="E67" s="379"/>
      <c r="F67" s="1082"/>
      <c r="G67" s="1087"/>
      <c r="H67" s="1078"/>
      <c r="I67" s="1079"/>
      <c r="J67" s="1065"/>
      <c r="K67" s="1089"/>
      <c r="L67" s="1090"/>
      <c r="M67" s="1069"/>
      <c r="N67" s="1104"/>
      <c r="O67" s="1063"/>
    </row>
    <row r="68" spans="1:15">
      <c r="A68" s="1103"/>
      <c r="B68" s="1085"/>
      <c r="C68" s="279" t="s">
        <v>101</v>
      </c>
      <c r="D68" s="18">
        <v>10</v>
      </c>
      <c r="E68" s="379">
        <v>1</v>
      </c>
      <c r="F68" s="1082"/>
      <c r="G68" s="1087"/>
      <c r="H68" s="1078"/>
      <c r="I68" s="1079"/>
      <c r="J68" s="1065"/>
      <c r="K68" s="1089"/>
      <c r="L68" s="1090"/>
      <c r="M68" s="1069"/>
      <c r="N68" s="1104"/>
      <c r="O68" s="1063"/>
    </row>
    <row r="69" spans="1:15">
      <c r="A69" s="1103"/>
      <c r="B69" s="1085"/>
      <c r="C69" s="9" t="s">
        <v>102</v>
      </c>
      <c r="D69" s="297">
        <v>10</v>
      </c>
      <c r="E69" s="379"/>
      <c r="F69" s="1082"/>
      <c r="G69" s="1087"/>
      <c r="H69" s="1078"/>
      <c r="I69" s="1079"/>
      <c r="J69" s="1065"/>
      <c r="K69" s="1089"/>
      <c r="L69" s="1090"/>
      <c r="M69" s="1069"/>
      <c r="N69" s="1104"/>
      <c r="O69" s="1063"/>
    </row>
    <row r="70" spans="1:15">
      <c r="A70" s="1103"/>
      <c r="B70" s="1085"/>
      <c r="C70" s="279" t="s">
        <v>103</v>
      </c>
      <c r="D70" s="297">
        <v>15</v>
      </c>
      <c r="E70" s="379"/>
      <c r="F70" s="1082"/>
      <c r="G70" s="1087"/>
      <c r="H70" s="1078"/>
      <c r="I70" s="1079"/>
      <c r="J70" s="1065"/>
      <c r="K70" s="1089"/>
      <c r="L70" s="1090"/>
      <c r="M70" s="1069"/>
      <c r="N70" s="1104"/>
      <c r="O70" s="1063"/>
    </row>
    <row r="71" spans="1:15">
      <c r="A71" s="1103"/>
      <c r="B71" s="1085"/>
      <c r="C71" s="279" t="s">
        <v>104</v>
      </c>
      <c r="D71" s="297">
        <v>10</v>
      </c>
      <c r="E71" s="379"/>
      <c r="F71" s="1082"/>
      <c r="G71" s="1087"/>
      <c r="H71" s="1078"/>
      <c r="I71" s="1079"/>
      <c r="J71" s="1065"/>
      <c r="K71" s="1089"/>
      <c r="L71" s="1090"/>
      <c r="M71" s="1069"/>
      <c r="N71" s="1104"/>
      <c r="O71" s="1063"/>
    </row>
    <row r="72" spans="1:15">
      <c r="A72" s="1103"/>
      <c r="B72" s="1085"/>
      <c r="C72" s="279" t="s">
        <v>105</v>
      </c>
      <c r="D72" s="297">
        <v>10</v>
      </c>
      <c r="E72" s="379"/>
      <c r="F72" s="1082"/>
      <c r="G72" s="1087"/>
      <c r="H72" s="1078"/>
      <c r="I72" s="1079"/>
      <c r="J72" s="1065"/>
      <c r="K72" s="1089"/>
      <c r="L72" s="1090"/>
      <c r="M72" s="1069"/>
      <c r="N72" s="1104"/>
      <c r="O72" s="1063"/>
    </row>
    <row r="73" spans="1:15">
      <c r="A73" s="1103"/>
      <c r="B73" s="1085"/>
      <c r="C73" s="279" t="s">
        <v>106</v>
      </c>
      <c r="D73" s="297">
        <v>10</v>
      </c>
      <c r="E73" s="379"/>
      <c r="F73" s="1082"/>
      <c r="G73" s="1087"/>
      <c r="H73" s="1078"/>
      <c r="I73" s="1079"/>
      <c r="J73" s="1065"/>
      <c r="K73" s="1089"/>
      <c r="L73" s="1090"/>
      <c r="M73" s="1069"/>
      <c r="N73" s="1104"/>
      <c r="O73" s="1063"/>
    </row>
    <row r="74" spans="1:15">
      <c r="A74" s="1103"/>
      <c r="B74" s="1085"/>
      <c r="C74" s="279" t="s">
        <v>107</v>
      </c>
      <c r="D74" s="297">
        <v>10</v>
      </c>
      <c r="E74" s="379"/>
      <c r="F74" s="1082"/>
      <c r="G74" s="1087"/>
      <c r="H74" s="1078"/>
      <c r="I74" s="1079"/>
      <c r="J74" s="1065"/>
      <c r="K74" s="1089"/>
      <c r="L74" s="1090"/>
      <c r="M74" s="1069"/>
      <c r="N74" s="1104"/>
      <c r="O74" s="1063"/>
    </row>
    <row r="75" spans="1:15">
      <c r="A75" s="1096"/>
      <c r="B75" s="1085"/>
      <c r="C75" s="279" t="s">
        <v>108</v>
      </c>
      <c r="D75" s="297">
        <v>10</v>
      </c>
      <c r="E75" s="379"/>
      <c r="F75" s="1082"/>
      <c r="G75" s="1087"/>
      <c r="H75" s="1078"/>
      <c r="I75" s="1079"/>
      <c r="J75" s="1065"/>
      <c r="K75" s="1089"/>
      <c r="L75" s="1090"/>
      <c r="M75" s="1069"/>
      <c r="N75" s="1104"/>
      <c r="O75" s="1063"/>
    </row>
    <row r="76" spans="1:15">
      <c r="A76" s="1096"/>
      <c r="B76" s="1085"/>
      <c r="C76" s="279" t="s">
        <v>109</v>
      </c>
      <c r="D76" s="297">
        <v>30</v>
      </c>
      <c r="E76" s="379"/>
      <c r="F76" s="1082"/>
      <c r="G76" s="1087"/>
      <c r="H76" s="1078"/>
      <c r="I76" s="1079"/>
      <c r="J76" s="1065"/>
      <c r="K76" s="1089"/>
      <c r="L76" s="1090"/>
      <c r="M76" s="1069"/>
      <c r="N76" s="1104"/>
      <c r="O76" s="1063"/>
    </row>
    <row r="77" spans="1:15" ht="36">
      <c r="A77" s="1096"/>
      <c r="B77" s="367" t="s">
        <v>521</v>
      </c>
      <c r="C77" s="279" t="s">
        <v>111</v>
      </c>
      <c r="D77" s="297">
        <v>15</v>
      </c>
      <c r="E77" s="379"/>
      <c r="F77" s="358" t="s">
        <v>16</v>
      </c>
      <c r="G77" s="361">
        <v>3</v>
      </c>
      <c r="H77" s="362"/>
      <c r="I77" s="363">
        <f>IF(AND(E77=1,H77&gt;0),D77*E77+G77*H77,0)</f>
        <v>0</v>
      </c>
      <c r="J77" s="347">
        <v>2</v>
      </c>
      <c r="K77" s="353" t="s">
        <v>110</v>
      </c>
      <c r="L77" s="368" t="s">
        <v>18</v>
      </c>
      <c r="M77" s="349" t="str">
        <f>IF(H77&lt;2,"许可没有达到最低要求","SUCCESS")</f>
        <v>许可没有达到最低要求</v>
      </c>
      <c r="N77" s="370"/>
      <c r="O77" s="400"/>
    </row>
    <row r="78" spans="1:15" ht="36">
      <c r="A78" s="1096"/>
      <c r="B78" s="168" t="s">
        <v>635</v>
      </c>
      <c r="C78" s="108" t="s">
        <v>635</v>
      </c>
      <c r="D78" s="297">
        <v>10</v>
      </c>
      <c r="E78" s="379"/>
      <c r="F78" s="358" t="s">
        <v>639</v>
      </c>
      <c r="G78" s="361">
        <v>3</v>
      </c>
      <c r="H78" s="362"/>
      <c r="I78" s="363">
        <f>IF(AND(E78=1,H78&gt;0),D78*E78+G78*H78,0)</f>
        <v>0</v>
      </c>
      <c r="J78" s="347">
        <v>2</v>
      </c>
      <c r="K78" s="353" t="s">
        <v>636</v>
      </c>
      <c r="L78" s="368" t="s">
        <v>626</v>
      </c>
      <c r="M78" s="349" t="str">
        <f>IF(H78&lt;2,"许可没有达到最低要求","SUCCESS")</f>
        <v>许可没有达到最低要求</v>
      </c>
      <c r="N78" s="147"/>
      <c r="O78" s="129"/>
    </row>
    <row r="79" spans="1:15" ht="14.25" customHeight="1">
      <c r="A79" s="1096"/>
      <c r="B79" s="1153" t="s">
        <v>637</v>
      </c>
      <c r="C79" s="1156" t="s">
        <v>637</v>
      </c>
      <c r="D79" s="1076" t="s">
        <v>472</v>
      </c>
      <c r="E79" s="1077"/>
      <c r="F79" s="364" t="s">
        <v>652</v>
      </c>
      <c r="G79" s="26">
        <v>2</v>
      </c>
      <c r="H79" s="1109"/>
      <c r="I79" s="1050">
        <f>IF(H79&lt;=5,H79*G79,IF(H79&lt;=20,5*2+(H79-5)*1.4,IF(H79&gt;=21,5*2+15*1.4+(H79-20)*0.6,IF(H79&lt;5,H79*0))))</f>
        <v>0</v>
      </c>
      <c r="J79" s="1065">
        <v>5</v>
      </c>
      <c r="K79" s="1050" t="s">
        <v>630</v>
      </c>
      <c r="L79" s="1084" t="s">
        <v>626</v>
      </c>
      <c r="M79" s="1107" t="str">
        <f>IF(H79&lt;3,"许可没有达到最低要求","SUCCESS")</f>
        <v>许可没有达到最低要求</v>
      </c>
      <c r="N79" s="1104"/>
      <c r="O79" s="946" t="s">
        <v>640</v>
      </c>
    </row>
    <row r="80" spans="1:15">
      <c r="A80" s="1096"/>
      <c r="B80" s="1153"/>
      <c r="C80" s="1156"/>
      <c r="D80" s="1158"/>
      <c r="E80" s="1077"/>
      <c r="F80" s="169" t="s">
        <v>653</v>
      </c>
      <c r="G80" s="26">
        <v>1.4</v>
      </c>
      <c r="H80" s="1109"/>
      <c r="I80" s="1050"/>
      <c r="J80" s="1065"/>
      <c r="K80" s="1050"/>
      <c r="L80" s="1084"/>
      <c r="M80" s="1107"/>
      <c r="N80" s="1104"/>
      <c r="O80" s="946"/>
    </row>
    <row r="81" spans="1:15">
      <c r="A81" s="1096"/>
      <c r="B81" s="1153"/>
      <c r="C81" s="1156"/>
      <c r="D81" s="1158"/>
      <c r="E81" s="1077"/>
      <c r="F81" s="338" t="s">
        <v>654</v>
      </c>
      <c r="G81" s="26">
        <v>0.6</v>
      </c>
      <c r="H81" s="1109"/>
      <c r="I81" s="1050"/>
      <c r="J81" s="1065"/>
      <c r="K81" s="1050"/>
      <c r="L81" s="1084"/>
      <c r="M81" s="1107"/>
      <c r="N81" s="1104"/>
      <c r="O81" s="946"/>
    </row>
    <row r="82" spans="1:15">
      <c r="A82" s="1096"/>
      <c r="B82" s="335" t="s">
        <v>634</v>
      </c>
      <c r="C82" s="339" t="s">
        <v>633</v>
      </c>
      <c r="D82" s="306">
        <v>20</v>
      </c>
      <c r="E82" s="312"/>
      <c r="F82" s="392" t="s">
        <v>639</v>
      </c>
      <c r="G82" s="343" t="s">
        <v>642</v>
      </c>
      <c r="H82" s="106" t="s">
        <v>625</v>
      </c>
      <c r="I82" s="363">
        <f>IF(E82=1,D82*E82,0)</f>
        <v>0</v>
      </c>
      <c r="J82" s="341" t="s">
        <v>16</v>
      </c>
      <c r="K82" s="353" t="s">
        <v>638</v>
      </c>
      <c r="L82" s="368" t="s">
        <v>626</v>
      </c>
      <c r="M82" s="341" t="s">
        <v>642</v>
      </c>
      <c r="N82" s="342"/>
      <c r="O82" s="350"/>
    </row>
    <row r="83" spans="1:15">
      <c r="A83" s="1151" t="s">
        <v>141</v>
      </c>
      <c r="B83" s="1154" t="s">
        <v>524</v>
      </c>
      <c r="C83" s="9" t="s">
        <v>142</v>
      </c>
      <c r="D83" s="297">
        <v>15</v>
      </c>
      <c r="E83" s="379"/>
      <c r="F83" s="1082" t="s">
        <v>16</v>
      </c>
      <c r="G83" s="1087">
        <v>3</v>
      </c>
      <c r="H83" s="1078"/>
      <c r="I83" s="1114">
        <f>IF(AND((E83+E84+E85+E86+E87+E88)&gt;=1,H83&gt;0),G83*H83+D83*E83+D84*E84+D85*E85+D86*E86+D87*E87+D88*E88,0)</f>
        <v>0</v>
      </c>
      <c r="J83" s="1065">
        <v>5</v>
      </c>
      <c r="K83" s="1050" t="s">
        <v>110</v>
      </c>
      <c r="L83" s="1084" t="s">
        <v>18</v>
      </c>
      <c r="M83" s="1107" t="str">
        <f>IF(H83&lt;5,"许可没有达到最低要求","SUCCESS")</f>
        <v>许可没有达到最低要求</v>
      </c>
      <c r="N83" s="1105" t="s">
        <v>818</v>
      </c>
      <c r="O83" s="946"/>
    </row>
    <row r="84" spans="1:15">
      <c r="A84" s="1151"/>
      <c r="B84" s="1154"/>
      <c r="C84" s="9" t="s">
        <v>143</v>
      </c>
      <c r="D84" s="297">
        <v>15</v>
      </c>
      <c r="E84" s="379"/>
      <c r="F84" s="1082"/>
      <c r="G84" s="1087"/>
      <c r="H84" s="1078"/>
      <c r="I84" s="1114"/>
      <c r="J84" s="1065"/>
      <c r="K84" s="1050"/>
      <c r="L84" s="1084"/>
      <c r="M84" s="1107"/>
      <c r="N84" s="1105"/>
      <c r="O84" s="946"/>
    </row>
    <row r="85" spans="1:15">
      <c r="A85" s="1151"/>
      <c r="B85" s="1154"/>
      <c r="C85" s="9" t="s">
        <v>144</v>
      </c>
      <c r="D85" s="297">
        <v>20</v>
      </c>
      <c r="E85" s="379"/>
      <c r="F85" s="1082"/>
      <c r="G85" s="1087"/>
      <c r="H85" s="1078"/>
      <c r="I85" s="1114"/>
      <c r="J85" s="1065"/>
      <c r="K85" s="1050"/>
      <c r="L85" s="1084"/>
      <c r="M85" s="1107"/>
      <c r="N85" s="1105"/>
      <c r="O85" s="946"/>
    </row>
    <row r="86" spans="1:15">
      <c r="A86" s="1151"/>
      <c r="B86" s="1154"/>
      <c r="C86" s="9" t="s">
        <v>145</v>
      </c>
      <c r="D86" s="297">
        <v>15</v>
      </c>
      <c r="E86" s="379"/>
      <c r="F86" s="1082"/>
      <c r="G86" s="1087"/>
      <c r="H86" s="1078"/>
      <c r="I86" s="1114"/>
      <c r="J86" s="1065"/>
      <c r="K86" s="1050"/>
      <c r="L86" s="1084"/>
      <c r="M86" s="1107"/>
      <c r="N86" s="1105"/>
      <c r="O86" s="946"/>
    </row>
    <row r="87" spans="1:15">
      <c r="A87" s="1151"/>
      <c r="B87" s="1154"/>
      <c r="C87" s="9" t="s">
        <v>146</v>
      </c>
      <c r="D87" s="297">
        <v>15</v>
      </c>
      <c r="E87" s="379"/>
      <c r="F87" s="1082"/>
      <c r="G87" s="1087"/>
      <c r="H87" s="1078"/>
      <c r="I87" s="1114"/>
      <c r="J87" s="1065"/>
      <c r="K87" s="1050"/>
      <c r="L87" s="1084"/>
      <c r="M87" s="1107"/>
      <c r="N87" s="1105"/>
      <c r="O87" s="946"/>
    </row>
    <row r="88" spans="1:15">
      <c r="A88" s="1151"/>
      <c r="B88" s="1154"/>
      <c r="C88" s="25" t="s">
        <v>147</v>
      </c>
      <c r="D88" s="361">
        <v>10</v>
      </c>
      <c r="E88" s="379"/>
      <c r="F88" s="1082"/>
      <c r="G88" s="1087"/>
      <c r="H88" s="1078"/>
      <c r="I88" s="1114"/>
      <c r="J88" s="1065"/>
      <c r="K88" s="1050"/>
      <c r="L88" s="1084"/>
      <c r="M88" s="1107"/>
      <c r="N88" s="1105"/>
      <c r="O88" s="946"/>
    </row>
    <row r="89" spans="1:15" ht="24">
      <c r="A89" s="1150" t="s">
        <v>808</v>
      </c>
      <c r="B89" s="302" t="s">
        <v>522</v>
      </c>
      <c r="C89" s="332" t="s">
        <v>112</v>
      </c>
      <c r="D89" s="297">
        <v>10</v>
      </c>
      <c r="E89" s="379"/>
      <c r="F89" s="358" t="s">
        <v>16</v>
      </c>
      <c r="G89" s="361">
        <v>1</v>
      </c>
      <c r="H89" s="362"/>
      <c r="I89" s="363">
        <f>IF(AND((E89)&gt;=1,H89&gt;0),D89*E89+G89*H89,0)</f>
        <v>0</v>
      </c>
      <c r="J89" s="347">
        <v>30</v>
      </c>
      <c r="K89" s="363" t="s">
        <v>55</v>
      </c>
      <c r="L89" s="102" t="s">
        <v>29</v>
      </c>
      <c r="M89" s="103" t="str">
        <f>IF(H89&lt;30,"许可没有达到最低要求","SUCCESS")</f>
        <v>许可没有达到最低要求</v>
      </c>
      <c r="N89" s="549" t="s">
        <v>113</v>
      </c>
      <c r="O89" s="409"/>
    </row>
    <row r="90" spans="1:15" ht="36">
      <c r="A90" s="1150"/>
      <c r="B90" s="302" t="s">
        <v>114</v>
      </c>
      <c r="C90" s="332" t="s">
        <v>114</v>
      </c>
      <c r="D90" s="297">
        <v>10</v>
      </c>
      <c r="E90" s="379"/>
      <c r="F90" s="358" t="s">
        <v>16</v>
      </c>
      <c r="G90" s="361">
        <v>1</v>
      </c>
      <c r="H90" s="362"/>
      <c r="I90" s="363">
        <f>IF(AND((E90)&gt;=1,H90&gt;0),D90*E90+G90*H90,0)</f>
        <v>0</v>
      </c>
      <c r="J90" s="347">
        <v>30</v>
      </c>
      <c r="K90" s="363" t="s">
        <v>55</v>
      </c>
      <c r="L90" s="102" t="s">
        <v>29</v>
      </c>
      <c r="M90" s="103" t="str">
        <f>IF(H90&lt;30,"许可没有达到最低要求","SUCCESS")</f>
        <v>许可没有达到最低要求</v>
      </c>
      <c r="N90" s="370" t="s">
        <v>595</v>
      </c>
      <c r="O90" s="409"/>
    </row>
    <row r="91" spans="1:15" ht="14.25" customHeight="1">
      <c r="A91" s="969" t="s">
        <v>773</v>
      </c>
      <c r="B91" s="997" t="s">
        <v>773</v>
      </c>
      <c r="C91" s="332" t="s">
        <v>115</v>
      </c>
      <c r="D91" s="297">
        <v>5</v>
      </c>
      <c r="E91" s="379"/>
      <c r="F91" s="1082" t="s">
        <v>16</v>
      </c>
      <c r="G91" s="1087">
        <v>2</v>
      </c>
      <c r="H91" s="1078"/>
      <c r="I91" s="1097">
        <f>IF(AND(E91+E92&gt;=1,H91+E92&gt;0),D91*E91+D92*E92+G91*H91,0)</f>
        <v>0</v>
      </c>
      <c r="J91" s="1065">
        <v>5</v>
      </c>
      <c r="K91" s="1050" t="s">
        <v>55</v>
      </c>
      <c r="L91" s="1084" t="s">
        <v>29</v>
      </c>
      <c r="M91" s="1107" t="str">
        <f>IF(H91&lt;5,"许可没有达到最低要求","SUCCESS")</f>
        <v>许可没有达到最低要求</v>
      </c>
      <c r="N91" s="1118" t="s">
        <v>116</v>
      </c>
      <c r="O91" s="1064"/>
    </row>
    <row r="92" spans="1:15">
      <c r="A92" s="969"/>
      <c r="B92" s="997"/>
      <c r="C92" s="332" t="s">
        <v>117</v>
      </c>
      <c r="D92" s="297">
        <v>15</v>
      </c>
      <c r="E92" s="379"/>
      <c r="F92" s="1082"/>
      <c r="G92" s="1087"/>
      <c r="H92" s="1078"/>
      <c r="I92" s="1097"/>
      <c r="J92" s="1065"/>
      <c r="K92" s="1050"/>
      <c r="L92" s="1084"/>
      <c r="M92" s="1107"/>
      <c r="N92" s="1118"/>
      <c r="O92" s="1064"/>
    </row>
    <row r="93" spans="1:15" ht="14.25" customHeight="1">
      <c r="A93" s="1152" t="s">
        <v>118</v>
      </c>
      <c r="B93" s="1070" t="s">
        <v>510</v>
      </c>
      <c r="C93" s="1073" t="s">
        <v>509</v>
      </c>
      <c r="D93" s="1076">
        <v>50</v>
      </c>
      <c r="E93" s="1077"/>
      <c r="F93" s="358" t="s">
        <v>119</v>
      </c>
      <c r="G93" s="361">
        <v>0.2</v>
      </c>
      <c r="H93" s="1078"/>
      <c r="I93" s="1079">
        <f>IF(AND(E93=1,H93&gt;0),IF(AND(H93&lt;=500,H93&gt;=0),H93*0.2+D93,IF(H93&lt;=2000,500*0.2+(H93-500)*0.15+D93,IF(H93&lt;=5000,500*0.2+1500*0.15+(H93-2000)*0.05+D93,IF(H93&lt;=10000,500*0.2+1500*0.15+3000*0.05+(H93-5000)*0.02+D93,IF(H93&gt;=10001,500*0.2+1500*0.15+3000*0.05+5000*0.02+(H93-10000)*0.01+D93))))),0)</f>
        <v>0</v>
      </c>
      <c r="J93" s="1065">
        <v>50</v>
      </c>
      <c r="K93" s="1066" t="s">
        <v>780</v>
      </c>
      <c r="L93" s="1067" t="s">
        <v>18</v>
      </c>
      <c r="M93" s="1069" t="str">
        <f>IF(H93&lt;50,"许可没有达到最低要求","SUCCESS")</f>
        <v>许可没有达到最低要求</v>
      </c>
      <c r="N93" s="1105" t="s">
        <v>121</v>
      </c>
      <c r="O93" s="1056" t="s">
        <v>120</v>
      </c>
    </row>
    <row r="94" spans="1:15">
      <c r="A94" s="1152"/>
      <c r="B94" s="1071"/>
      <c r="C94" s="1074"/>
      <c r="D94" s="1076"/>
      <c r="E94" s="1077"/>
      <c r="F94" s="358" t="s">
        <v>122</v>
      </c>
      <c r="G94" s="361">
        <v>0.15</v>
      </c>
      <c r="H94" s="1078"/>
      <c r="I94" s="1079"/>
      <c r="J94" s="1065"/>
      <c r="K94" s="1066"/>
      <c r="L94" s="1067"/>
      <c r="M94" s="1069"/>
      <c r="N94" s="1105"/>
      <c r="O94" s="1056"/>
    </row>
    <row r="95" spans="1:15">
      <c r="A95" s="1152"/>
      <c r="B95" s="1071"/>
      <c r="C95" s="1074"/>
      <c r="D95" s="1076"/>
      <c r="E95" s="1077"/>
      <c r="F95" s="358" t="s">
        <v>123</v>
      </c>
      <c r="G95" s="361">
        <v>0.05</v>
      </c>
      <c r="H95" s="1078"/>
      <c r="I95" s="1079"/>
      <c r="J95" s="1065"/>
      <c r="K95" s="1066"/>
      <c r="L95" s="1067"/>
      <c r="M95" s="1069"/>
      <c r="N95" s="1105"/>
      <c r="O95" s="1056"/>
    </row>
    <row r="96" spans="1:15">
      <c r="A96" s="1152"/>
      <c r="B96" s="1071"/>
      <c r="C96" s="1074"/>
      <c r="D96" s="1076"/>
      <c r="E96" s="1077"/>
      <c r="F96" s="358" t="s">
        <v>124</v>
      </c>
      <c r="G96" s="361">
        <v>0.02</v>
      </c>
      <c r="H96" s="1078"/>
      <c r="I96" s="1079"/>
      <c r="J96" s="1065"/>
      <c r="K96" s="1066"/>
      <c r="L96" s="1067"/>
      <c r="M96" s="1069"/>
      <c r="N96" s="1105"/>
      <c r="O96" s="1056"/>
    </row>
    <row r="97" spans="1:15">
      <c r="A97" s="1152"/>
      <c r="B97" s="1072"/>
      <c r="C97" s="1075"/>
      <c r="D97" s="1076"/>
      <c r="E97" s="1077"/>
      <c r="F97" s="516" t="s">
        <v>790</v>
      </c>
      <c r="G97" s="361">
        <v>0.01</v>
      </c>
      <c r="H97" s="1078"/>
      <c r="I97" s="1079"/>
      <c r="J97" s="1065"/>
      <c r="K97" s="1066"/>
      <c r="L97" s="1067"/>
      <c r="M97" s="1069"/>
      <c r="N97" s="1105"/>
      <c r="O97" s="1056"/>
    </row>
    <row r="98" spans="1:15" ht="14.25" customHeight="1">
      <c r="A98" s="1152"/>
      <c r="B98" s="1155" t="s">
        <v>512</v>
      </c>
      <c r="C98" s="21" t="s">
        <v>125</v>
      </c>
      <c r="D98" s="297">
        <v>15</v>
      </c>
      <c r="E98" s="379"/>
      <c r="F98" s="1082" t="s">
        <v>16</v>
      </c>
      <c r="G98" s="1088">
        <v>5</v>
      </c>
      <c r="H98" s="1078"/>
      <c r="I98" s="1079">
        <f>IF(AND((E99+E98)&gt;=1,H98&gt;0),D99*E99+D98*E98+G98*H98,0)</f>
        <v>0</v>
      </c>
      <c r="J98" s="1065">
        <v>2</v>
      </c>
      <c r="K98" s="1080" t="s">
        <v>110</v>
      </c>
      <c r="L98" s="1081" t="s">
        <v>18</v>
      </c>
      <c r="M98" s="1069" t="str">
        <f>IF(H93&lt;2,"许可没有达到最低要求","SUCCESS")</f>
        <v>许可没有达到最低要求</v>
      </c>
      <c r="N98" s="1104" t="s">
        <v>600</v>
      </c>
      <c r="O98" s="946" t="s">
        <v>344</v>
      </c>
    </row>
    <row r="99" spans="1:15">
      <c r="A99" s="1152"/>
      <c r="B99" s="1155"/>
      <c r="C99" s="21" t="s">
        <v>511</v>
      </c>
      <c r="D99" s="297">
        <v>15</v>
      </c>
      <c r="E99" s="379"/>
      <c r="F99" s="1082"/>
      <c r="G99" s="1088"/>
      <c r="H99" s="1078"/>
      <c r="I99" s="1079"/>
      <c r="J99" s="1065"/>
      <c r="K99" s="1080"/>
      <c r="L99" s="1081"/>
      <c r="M99" s="1069"/>
      <c r="N99" s="1104"/>
      <c r="O99" s="946"/>
    </row>
    <row r="100" spans="1:15" ht="55.5" customHeight="1">
      <c r="A100" s="1152"/>
      <c r="B100" s="1155"/>
      <c r="C100" s="319" t="s">
        <v>126</v>
      </c>
      <c r="D100" s="22" t="s">
        <v>30</v>
      </c>
      <c r="E100" s="379"/>
      <c r="F100" s="358" t="s">
        <v>16</v>
      </c>
      <c r="G100" s="149" t="s">
        <v>30</v>
      </c>
      <c r="H100" s="23" t="s">
        <v>30</v>
      </c>
      <c r="I100" s="363">
        <f>IF(E100=1,(D91+D92+D98+D99)*0.2,0)</f>
        <v>0</v>
      </c>
      <c r="J100" s="7" t="s">
        <v>16</v>
      </c>
      <c r="K100" s="348" t="s">
        <v>127</v>
      </c>
      <c r="L100" s="24" t="s">
        <v>22</v>
      </c>
      <c r="M100" s="14" t="s">
        <v>16</v>
      </c>
      <c r="N100" s="147" t="s">
        <v>602</v>
      </c>
      <c r="O100" s="129" t="s">
        <v>621</v>
      </c>
    </row>
    <row r="101" spans="1:15" ht="54" customHeight="1">
      <c r="A101" s="1152"/>
      <c r="B101" s="1155"/>
      <c r="C101" s="319" t="s">
        <v>128</v>
      </c>
      <c r="D101" s="22" t="s">
        <v>30</v>
      </c>
      <c r="E101" s="379"/>
      <c r="F101" s="358" t="s">
        <v>16</v>
      </c>
      <c r="G101" s="149" t="s">
        <v>30</v>
      </c>
      <c r="H101" s="23" t="s">
        <v>30</v>
      </c>
      <c r="I101" s="363">
        <f>IF(E101=1,(D91+D92+D98+D99)*0.05,0)</f>
        <v>0</v>
      </c>
      <c r="J101" s="7" t="s">
        <v>16</v>
      </c>
      <c r="K101" s="348" t="s">
        <v>127</v>
      </c>
      <c r="L101" s="24" t="s">
        <v>29</v>
      </c>
      <c r="M101" s="14" t="s">
        <v>16</v>
      </c>
      <c r="N101" s="147" t="s">
        <v>603</v>
      </c>
      <c r="O101" s="129" t="s">
        <v>622</v>
      </c>
    </row>
    <row r="102" spans="1:15" ht="14.25" customHeight="1">
      <c r="A102" s="1152"/>
      <c r="B102" s="1155" t="s">
        <v>513</v>
      </c>
      <c r="C102" s="279" t="s">
        <v>365</v>
      </c>
      <c r="D102" s="297">
        <v>50</v>
      </c>
      <c r="E102" s="379"/>
      <c r="F102" s="1082" t="s">
        <v>16</v>
      </c>
      <c r="G102" s="1088">
        <v>10</v>
      </c>
      <c r="H102" s="1078"/>
      <c r="I102" s="1079">
        <f>IF(AND((E102+E103)&gt;=1,H102&gt;0),D102*E102+D104*E103+G102*H102,0)</f>
        <v>0</v>
      </c>
      <c r="J102" s="1157">
        <v>2</v>
      </c>
      <c r="K102" s="1080" t="s">
        <v>110</v>
      </c>
      <c r="L102" s="1112" t="s">
        <v>18</v>
      </c>
      <c r="M102" s="1069" t="str">
        <f>IF(H102&lt;2,"许可没有达到最低要求","SUCCESS")</f>
        <v>许可没有达到最低要求</v>
      </c>
      <c r="N102" s="147" t="s">
        <v>130</v>
      </c>
      <c r="O102" s="946" t="s">
        <v>129</v>
      </c>
    </row>
    <row r="103" spans="1:15">
      <c r="A103" s="1152"/>
      <c r="B103" s="1155"/>
      <c r="C103" s="279" t="s">
        <v>131</v>
      </c>
      <c r="D103" s="297">
        <v>20</v>
      </c>
      <c r="E103" s="379"/>
      <c r="F103" s="1082"/>
      <c r="G103" s="1088"/>
      <c r="H103" s="1078"/>
      <c r="I103" s="1079"/>
      <c r="J103" s="1157"/>
      <c r="K103" s="1080"/>
      <c r="L103" s="1112"/>
      <c r="M103" s="1069"/>
      <c r="N103" s="393" t="s">
        <v>132</v>
      </c>
      <c r="O103" s="946"/>
    </row>
    <row r="104" spans="1:15">
      <c r="A104" s="1152"/>
      <c r="B104" s="128" t="s">
        <v>515</v>
      </c>
      <c r="C104" s="279" t="s">
        <v>514</v>
      </c>
      <c r="D104" s="297">
        <v>0</v>
      </c>
      <c r="E104" s="379"/>
      <c r="F104" s="358" t="s">
        <v>16</v>
      </c>
      <c r="G104" s="356" t="s">
        <v>16</v>
      </c>
      <c r="H104" s="252" t="s">
        <v>16</v>
      </c>
      <c r="I104" s="363">
        <v>0</v>
      </c>
      <c r="J104" s="347" t="s">
        <v>16</v>
      </c>
      <c r="K104" s="348" t="s">
        <v>110</v>
      </c>
      <c r="L104" s="369" t="s">
        <v>18</v>
      </c>
      <c r="M104" s="14" t="s">
        <v>16</v>
      </c>
      <c r="N104" s="393" t="s">
        <v>594</v>
      </c>
      <c r="O104" s="946"/>
    </row>
    <row r="105" spans="1:15" ht="14.25" customHeight="1">
      <c r="A105" s="1152"/>
      <c r="B105" s="1102" t="s">
        <v>523</v>
      </c>
      <c r="C105" s="1121" t="s">
        <v>133</v>
      </c>
      <c r="D105" s="1076">
        <v>50</v>
      </c>
      <c r="E105" s="1077"/>
      <c r="F105" s="358" t="s">
        <v>134</v>
      </c>
      <c r="G105" s="307">
        <v>0.2</v>
      </c>
      <c r="H105" s="1078"/>
      <c r="I105" s="1079">
        <f>IF(AND(E105=1,H105&gt;0),IF(AND(H105&lt;=200,H105&gt;=0),H105*0.2+D105,IF(H105&lt;=500,200*0.2+(H105-200)*0.15+D105,IF(H105&lt;=2000,200*0.2+300*0.15+(H105-500)*0.1+D105,IF(H105&lt;=5000,200*0.2+300*0.15+1500*0.1+(H105-2000)*0.05+D105,IF(H105&lt;=10000,200*0.2+300*0.15+1500*0.1+3000*0.05+(H105-5000)*0.02+D105,IF(H105&gt;=10001,200*0.2+300*0.15+1500*0.1+3000*0.05+5000*0.02+(H105-10000)*0.01+D105)))))),0)</f>
        <v>0</v>
      </c>
      <c r="J105" s="1065">
        <v>50</v>
      </c>
      <c r="K105" s="1066" t="s">
        <v>779</v>
      </c>
      <c r="L105" s="1067" t="s">
        <v>18</v>
      </c>
      <c r="M105" s="1069" t="str">
        <f>IF(H105&lt;25,"许可没有达到最低要求","SUCCESS")</f>
        <v>许可没有达到最低要求</v>
      </c>
      <c r="N105" s="994" t="s">
        <v>136</v>
      </c>
      <c r="O105" s="1057" t="s">
        <v>135</v>
      </c>
    </row>
    <row r="106" spans="1:15">
      <c r="A106" s="1152"/>
      <c r="B106" s="1102"/>
      <c r="C106" s="1121"/>
      <c r="D106" s="1076"/>
      <c r="E106" s="1077"/>
      <c r="F106" s="358" t="s">
        <v>137</v>
      </c>
      <c r="G106" s="307">
        <v>0.15</v>
      </c>
      <c r="H106" s="1078"/>
      <c r="I106" s="1079"/>
      <c r="J106" s="1065"/>
      <c r="K106" s="1066"/>
      <c r="L106" s="1067"/>
      <c r="M106" s="1069"/>
      <c r="N106" s="994"/>
      <c r="O106" s="1057"/>
    </row>
    <row r="107" spans="1:15">
      <c r="A107" s="1152"/>
      <c r="B107" s="1102"/>
      <c r="C107" s="1121"/>
      <c r="D107" s="1076"/>
      <c r="E107" s="1077"/>
      <c r="F107" s="358" t="s">
        <v>122</v>
      </c>
      <c r="G107" s="307">
        <v>0.1</v>
      </c>
      <c r="H107" s="1078"/>
      <c r="I107" s="1079"/>
      <c r="J107" s="1065"/>
      <c r="K107" s="1066"/>
      <c r="L107" s="1067"/>
      <c r="M107" s="1069"/>
      <c r="N107" s="994"/>
      <c r="O107" s="1057"/>
    </row>
    <row r="108" spans="1:15">
      <c r="A108" s="1152"/>
      <c r="B108" s="1102"/>
      <c r="C108" s="1121"/>
      <c r="D108" s="1076"/>
      <c r="E108" s="1077"/>
      <c r="F108" s="358" t="s">
        <v>123</v>
      </c>
      <c r="G108" s="307">
        <v>0.05</v>
      </c>
      <c r="H108" s="1078"/>
      <c r="I108" s="1079"/>
      <c r="J108" s="1065"/>
      <c r="K108" s="1066"/>
      <c r="L108" s="1067"/>
      <c r="M108" s="1069"/>
      <c r="N108" s="994"/>
      <c r="O108" s="1057"/>
    </row>
    <row r="109" spans="1:15">
      <c r="A109" s="1152"/>
      <c r="B109" s="1102"/>
      <c r="C109" s="1121"/>
      <c r="D109" s="1076"/>
      <c r="E109" s="1077"/>
      <c r="F109" s="358" t="s">
        <v>781</v>
      </c>
      <c r="G109" s="307">
        <v>0.02</v>
      </c>
      <c r="H109" s="1078"/>
      <c r="I109" s="1079"/>
      <c r="J109" s="1065"/>
      <c r="K109" s="1066"/>
      <c r="L109" s="1067"/>
      <c r="M109" s="1069"/>
      <c r="N109" s="994"/>
      <c r="O109" s="1057"/>
    </row>
    <row r="110" spans="1:15">
      <c r="A110" s="1152"/>
      <c r="B110" s="1102"/>
      <c r="C110" s="1121"/>
      <c r="D110" s="1076"/>
      <c r="E110" s="1077"/>
      <c r="F110" s="516" t="s">
        <v>790</v>
      </c>
      <c r="G110" s="307">
        <v>0.01</v>
      </c>
      <c r="H110" s="1078"/>
      <c r="I110" s="1079"/>
      <c r="J110" s="1065"/>
      <c r="K110" s="1066"/>
      <c r="L110" s="1067"/>
      <c r="M110" s="1069"/>
      <c r="N110" s="994"/>
      <c r="O110" s="1057"/>
    </row>
    <row r="111" spans="1:15" ht="20.25" customHeight="1">
      <c r="A111" s="1152"/>
      <c r="B111" s="364" t="s">
        <v>138</v>
      </c>
      <c r="C111" s="9" t="s">
        <v>138</v>
      </c>
      <c r="D111" s="297">
        <v>20</v>
      </c>
      <c r="E111" s="379"/>
      <c r="F111" s="358" t="s">
        <v>16</v>
      </c>
      <c r="G111" s="101" t="s">
        <v>16</v>
      </c>
      <c r="H111" s="362" t="s">
        <v>16</v>
      </c>
      <c r="I111" s="363">
        <f>IF(E111=1,D111*E111,0)</f>
        <v>0</v>
      </c>
      <c r="J111" s="347" t="s">
        <v>16</v>
      </c>
      <c r="K111" s="175" t="s">
        <v>139</v>
      </c>
      <c r="L111" s="148" t="s">
        <v>18</v>
      </c>
      <c r="M111" s="14" t="s">
        <v>16</v>
      </c>
      <c r="N111" s="394" t="s">
        <v>375</v>
      </c>
      <c r="O111" s="400"/>
    </row>
    <row r="112" spans="1:15" ht="31.5" customHeight="1">
      <c r="A112" s="1152"/>
      <c r="B112" s="364" t="s">
        <v>140</v>
      </c>
      <c r="C112" s="25" t="s">
        <v>140</v>
      </c>
      <c r="D112" s="297">
        <v>10</v>
      </c>
      <c r="E112" s="379"/>
      <c r="F112" s="358" t="s">
        <v>16</v>
      </c>
      <c r="G112" s="101" t="s">
        <v>16</v>
      </c>
      <c r="H112" s="362" t="s">
        <v>16</v>
      </c>
      <c r="I112" s="363">
        <f>IF(E112=1,D112*E112,0)</f>
        <v>0</v>
      </c>
      <c r="J112" s="347" t="s">
        <v>16</v>
      </c>
      <c r="K112" s="175" t="s">
        <v>139</v>
      </c>
      <c r="L112" s="148" t="s">
        <v>18</v>
      </c>
      <c r="M112" s="14" t="s">
        <v>16</v>
      </c>
      <c r="N112" s="316" t="s">
        <v>691</v>
      </c>
      <c r="O112" s="410" t="s">
        <v>690</v>
      </c>
    </row>
    <row r="113" spans="1:15" ht="14.25" customHeight="1">
      <c r="A113" s="1126" t="s">
        <v>148</v>
      </c>
      <c r="B113" s="1085" t="s">
        <v>525</v>
      </c>
      <c r="C113" s="279" t="s">
        <v>149</v>
      </c>
      <c r="D113" s="297">
        <v>20</v>
      </c>
      <c r="E113" s="379"/>
      <c r="F113" s="1082" t="s">
        <v>16</v>
      </c>
      <c r="G113" s="1087">
        <v>3</v>
      </c>
      <c r="H113" s="1078"/>
      <c r="I113" s="1089">
        <f>IF(AND((E113+E114+E115+E116+E117+E118+E119+E120+D121+E122)&gt;=1,H113&gt;0),G113*H113+D113*E113+D114*E114+D115*E115+D116*E116+D117*E117+D118*E118+D119*E119+D120*E120+D121*E121+D122*E122,0)</f>
        <v>0</v>
      </c>
      <c r="J113" s="1115">
        <v>5</v>
      </c>
      <c r="K113" s="1079" t="s">
        <v>28</v>
      </c>
      <c r="L113" s="1090" t="s">
        <v>805</v>
      </c>
      <c r="M113" s="1069" t="str">
        <f>IF(H113&lt;5,"许可没有达到最低要求","SUCCESS")</f>
        <v>许可没有达到最低要求</v>
      </c>
      <c r="N113" s="1104" t="s">
        <v>815</v>
      </c>
      <c r="O113" s="1058" t="s">
        <v>150</v>
      </c>
    </row>
    <row r="114" spans="1:15">
      <c r="A114" s="1127"/>
      <c r="B114" s="1085"/>
      <c r="C114" s="279" t="s">
        <v>151</v>
      </c>
      <c r="D114" s="297">
        <v>20</v>
      </c>
      <c r="E114" s="379"/>
      <c r="F114" s="1082"/>
      <c r="G114" s="1087"/>
      <c r="H114" s="1078"/>
      <c r="I114" s="1089"/>
      <c r="J114" s="1115"/>
      <c r="K114" s="1079"/>
      <c r="L114" s="1090"/>
      <c r="M114" s="1069"/>
      <c r="N114" s="1104"/>
      <c r="O114" s="1058"/>
    </row>
    <row r="115" spans="1:15">
      <c r="A115" s="1127"/>
      <c r="B115" s="1085"/>
      <c r="C115" s="279" t="s">
        <v>152</v>
      </c>
      <c r="D115" s="297">
        <v>20</v>
      </c>
      <c r="E115" s="379"/>
      <c r="F115" s="1082"/>
      <c r="G115" s="1087"/>
      <c r="H115" s="1078"/>
      <c r="I115" s="1089"/>
      <c r="J115" s="1115"/>
      <c r="K115" s="1079"/>
      <c r="L115" s="1090"/>
      <c r="M115" s="1069"/>
      <c r="N115" s="1104"/>
      <c r="O115" s="1058"/>
    </row>
    <row r="116" spans="1:15">
      <c r="A116" s="1127"/>
      <c r="B116" s="1085"/>
      <c r="C116" s="279" t="s">
        <v>153</v>
      </c>
      <c r="D116" s="297">
        <v>20</v>
      </c>
      <c r="E116" s="379"/>
      <c r="F116" s="1082"/>
      <c r="G116" s="1087"/>
      <c r="H116" s="1078"/>
      <c r="I116" s="1089"/>
      <c r="J116" s="1115"/>
      <c r="K116" s="1079"/>
      <c r="L116" s="1090"/>
      <c r="M116" s="1069"/>
      <c r="N116" s="1104"/>
      <c r="O116" s="1058"/>
    </row>
    <row r="117" spans="1:15">
      <c r="A117" s="1127"/>
      <c r="B117" s="1085"/>
      <c r="C117" s="279" t="s">
        <v>154</v>
      </c>
      <c r="D117" s="297">
        <v>20</v>
      </c>
      <c r="E117" s="379"/>
      <c r="F117" s="1082"/>
      <c r="G117" s="1087"/>
      <c r="H117" s="1078"/>
      <c r="I117" s="1089"/>
      <c r="J117" s="1115"/>
      <c r="K117" s="1079"/>
      <c r="L117" s="1090"/>
      <c r="M117" s="1069"/>
      <c r="N117" s="1104"/>
      <c r="O117" s="1058"/>
    </row>
    <row r="118" spans="1:15">
      <c r="A118" s="1127"/>
      <c r="B118" s="1085"/>
      <c r="C118" s="279" t="s">
        <v>155</v>
      </c>
      <c r="D118" s="297">
        <v>20</v>
      </c>
      <c r="E118" s="379"/>
      <c r="F118" s="1082"/>
      <c r="G118" s="1087"/>
      <c r="H118" s="1078"/>
      <c r="I118" s="1089"/>
      <c r="J118" s="1115"/>
      <c r="K118" s="1079"/>
      <c r="L118" s="1090"/>
      <c r="M118" s="1069"/>
      <c r="N118" s="1104"/>
      <c r="O118" s="1058"/>
    </row>
    <row r="119" spans="1:15">
      <c r="A119" s="1127"/>
      <c r="B119" s="1085"/>
      <c r="C119" s="279" t="s">
        <v>156</v>
      </c>
      <c r="D119" s="297">
        <v>20</v>
      </c>
      <c r="E119" s="379"/>
      <c r="F119" s="1082"/>
      <c r="G119" s="1087"/>
      <c r="H119" s="1078"/>
      <c r="I119" s="1089"/>
      <c r="J119" s="1115"/>
      <c r="K119" s="1079"/>
      <c r="L119" s="1090"/>
      <c r="M119" s="1069"/>
      <c r="N119" s="1104"/>
      <c r="O119" s="1058"/>
    </row>
    <row r="120" spans="1:15">
      <c r="A120" s="1127"/>
      <c r="B120" s="1085"/>
      <c r="C120" s="279" t="s">
        <v>157</v>
      </c>
      <c r="D120" s="297">
        <v>30</v>
      </c>
      <c r="E120" s="379"/>
      <c r="F120" s="1082"/>
      <c r="G120" s="1087"/>
      <c r="H120" s="1078"/>
      <c r="I120" s="1089"/>
      <c r="J120" s="1115"/>
      <c r="K120" s="1079"/>
      <c r="L120" s="1090"/>
      <c r="M120" s="1069"/>
      <c r="N120" s="1104"/>
      <c r="O120" s="1058"/>
    </row>
    <row r="121" spans="1:15">
      <c r="A121" s="1127"/>
      <c r="B121" s="1085"/>
      <c r="C121" s="279" t="s">
        <v>158</v>
      </c>
      <c r="D121" s="297">
        <v>20</v>
      </c>
      <c r="E121" s="379"/>
      <c r="F121" s="1082"/>
      <c r="G121" s="1087"/>
      <c r="H121" s="1078"/>
      <c r="I121" s="1089"/>
      <c r="J121" s="1115"/>
      <c r="K121" s="1079"/>
      <c r="L121" s="1090"/>
      <c r="M121" s="1069"/>
      <c r="N121" s="1104"/>
      <c r="O121" s="1058"/>
    </row>
    <row r="122" spans="1:15">
      <c r="A122" s="1127"/>
      <c r="B122" s="1085"/>
      <c r="C122" s="279" t="s">
        <v>159</v>
      </c>
      <c r="D122" s="297">
        <v>0</v>
      </c>
      <c r="E122" s="379"/>
      <c r="F122" s="1082"/>
      <c r="G122" s="1087"/>
      <c r="H122" s="1078"/>
      <c r="I122" s="1089"/>
      <c r="J122" s="1115"/>
      <c r="K122" s="1079"/>
      <c r="L122" s="1090"/>
      <c r="M122" s="1069"/>
      <c r="N122" s="1104"/>
      <c r="O122" s="1058"/>
    </row>
    <row r="123" spans="1:15" ht="12.75" customHeight="1">
      <c r="A123" s="1128"/>
      <c r="B123" s="536" t="s">
        <v>800</v>
      </c>
      <c r="C123" s="538" t="s">
        <v>801</v>
      </c>
      <c r="D123" s="531">
        <v>20</v>
      </c>
      <c r="E123" s="532"/>
      <c r="F123" s="533" t="s">
        <v>802</v>
      </c>
      <c r="G123" s="534" t="s">
        <v>803</v>
      </c>
      <c r="H123" s="530" t="s">
        <v>803</v>
      </c>
      <c r="I123" s="537">
        <f>IF(E123=1,D123*E123,0)</f>
        <v>0</v>
      </c>
      <c r="J123" s="541" t="s">
        <v>803</v>
      </c>
      <c r="K123" s="535" t="s">
        <v>804</v>
      </c>
      <c r="L123" s="539" t="s">
        <v>805</v>
      </c>
      <c r="M123" s="540" t="s">
        <v>803</v>
      </c>
      <c r="N123" s="548" t="s">
        <v>806</v>
      </c>
      <c r="O123" s="542"/>
    </row>
    <row r="124" spans="1:15">
      <c r="A124" s="1103" t="s">
        <v>160</v>
      </c>
      <c r="B124" s="1085" t="s">
        <v>160</v>
      </c>
      <c r="C124" s="279" t="s">
        <v>161</v>
      </c>
      <c r="D124" s="297">
        <v>20</v>
      </c>
      <c r="E124" s="379"/>
      <c r="F124" s="1082" t="s">
        <v>16</v>
      </c>
      <c r="G124" s="1087">
        <v>3</v>
      </c>
      <c r="H124" s="1078"/>
      <c r="I124" s="1079">
        <f>IF(AND((E124+E125+E126+E128+E127+E129+E130+E131+E132+E133)&gt;=1,H124&gt;0),G124*H124+D124*E124+D125*E125+D126*E126+D127*E127+D128*E128+D129*E129+D130*E130+D131*E131+D132*E132+D133*E133,0)</f>
        <v>0</v>
      </c>
      <c r="J124" s="1065">
        <v>5</v>
      </c>
      <c r="K124" s="1079" t="s">
        <v>55</v>
      </c>
      <c r="L124" s="1090" t="s">
        <v>18</v>
      </c>
      <c r="M124" s="1069" t="str">
        <f>IF(H124&lt;5,"许可没有达到最低要求","SUCCESS")</f>
        <v>许可没有达到最低要求</v>
      </c>
      <c r="N124" s="1105" t="s">
        <v>816</v>
      </c>
      <c r="O124" s="1059"/>
    </row>
    <row r="125" spans="1:15">
      <c r="A125" s="1149"/>
      <c r="B125" s="1148"/>
      <c r="C125" s="279" t="s">
        <v>162</v>
      </c>
      <c r="D125" s="361">
        <v>20</v>
      </c>
      <c r="E125" s="379"/>
      <c r="F125" s="1082"/>
      <c r="G125" s="1087"/>
      <c r="H125" s="1078"/>
      <c r="I125" s="1079"/>
      <c r="J125" s="1065"/>
      <c r="K125" s="1079"/>
      <c r="L125" s="1090"/>
      <c r="M125" s="1069"/>
      <c r="N125" s="1105"/>
      <c r="O125" s="1059"/>
    </row>
    <row r="126" spans="1:15">
      <c r="A126" s="1149"/>
      <c r="B126" s="1148"/>
      <c r="C126" s="279" t="s">
        <v>163</v>
      </c>
      <c r="D126" s="361">
        <v>25</v>
      </c>
      <c r="E126" s="379"/>
      <c r="F126" s="1082"/>
      <c r="G126" s="1087"/>
      <c r="H126" s="1078"/>
      <c r="I126" s="1079"/>
      <c r="J126" s="1065"/>
      <c r="K126" s="1079"/>
      <c r="L126" s="1090"/>
      <c r="M126" s="1069"/>
      <c r="N126" s="1105"/>
      <c r="O126" s="1059"/>
    </row>
    <row r="127" spans="1:15">
      <c r="A127" s="1149"/>
      <c r="B127" s="1148"/>
      <c r="C127" s="279" t="s">
        <v>164</v>
      </c>
      <c r="D127" s="361">
        <v>25</v>
      </c>
      <c r="E127" s="379"/>
      <c r="F127" s="1082"/>
      <c r="G127" s="1087"/>
      <c r="H127" s="1078"/>
      <c r="I127" s="1079"/>
      <c r="J127" s="1065"/>
      <c r="K127" s="1079"/>
      <c r="L127" s="1090"/>
      <c r="M127" s="1069"/>
      <c r="N127" s="1105"/>
      <c r="O127" s="1059"/>
    </row>
    <row r="128" spans="1:15">
      <c r="A128" s="1149"/>
      <c r="B128" s="1148"/>
      <c r="C128" s="279" t="s">
        <v>165</v>
      </c>
      <c r="D128" s="361">
        <v>30</v>
      </c>
      <c r="E128" s="379"/>
      <c r="F128" s="1082"/>
      <c r="G128" s="1087"/>
      <c r="H128" s="1078"/>
      <c r="I128" s="1079"/>
      <c r="J128" s="1065"/>
      <c r="K128" s="1079"/>
      <c r="L128" s="1090"/>
      <c r="M128" s="1069"/>
      <c r="N128" s="1105"/>
      <c r="O128" s="1059"/>
    </row>
    <row r="129" spans="1:15">
      <c r="A129" s="1149"/>
      <c r="B129" s="1148"/>
      <c r="C129" s="279" t="s">
        <v>166</v>
      </c>
      <c r="D129" s="361">
        <v>30</v>
      </c>
      <c r="E129" s="379"/>
      <c r="F129" s="1082"/>
      <c r="G129" s="1087"/>
      <c r="H129" s="1078"/>
      <c r="I129" s="1079"/>
      <c r="J129" s="1065"/>
      <c r="K129" s="1079"/>
      <c r="L129" s="1090"/>
      <c r="M129" s="1069"/>
      <c r="N129" s="1105"/>
      <c r="O129" s="1059"/>
    </row>
    <row r="130" spans="1:15">
      <c r="A130" s="1149"/>
      <c r="B130" s="1148"/>
      <c r="C130" s="279" t="s">
        <v>167</v>
      </c>
      <c r="D130" s="361">
        <v>30</v>
      </c>
      <c r="E130" s="379"/>
      <c r="F130" s="1082"/>
      <c r="G130" s="1087"/>
      <c r="H130" s="1078"/>
      <c r="I130" s="1079"/>
      <c r="J130" s="1065"/>
      <c r="K130" s="1079"/>
      <c r="L130" s="1090"/>
      <c r="M130" s="1069"/>
      <c r="N130" s="1105"/>
      <c r="O130" s="1059"/>
    </row>
    <row r="131" spans="1:15">
      <c r="A131" s="1149"/>
      <c r="B131" s="1148"/>
      <c r="C131" s="279" t="s">
        <v>168</v>
      </c>
      <c r="D131" s="361">
        <v>20</v>
      </c>
      <c r="E131" s="379"/>
      <c r="F131" s="1082"/>
      <c r="G131" s="1087"/>
      <c r="H131" s="1078"/>
      <c r="I131" s="1079"/>
      <c r="J131" s="1065"/>
      <c r="K131" s="1111"/>
      <c r="L131" s="1090"/>
      <c r="M131" s="1069"/>
      <c r="N131" s="1105"/>
      <c r="O131" s="1059"/>
    </row>
    <row r="132" spans="1:15">
      <c r="A132" s="1149"/>
      <c r="B132" s="1148"/>
      <c r="C132" s="279" t="s">
        <v>169</v>
      </c>
      <c r="D132" s="361">
        <v>15</v>
      </c>
      <c r="E132" s="379"/>
      <c r="F132" s="1082"/>
      <c r="G132" s="1087"/>
      <c r="H132" s="1078"/>
      <c r="I132" s="1079"/>
      <c r="J132" s="1065"/>
      <c r="K132" s="1111"/>
      <c r="L132" s="1090"/>
      <c r="M132" s="1069"/>
      <c r="N132" s="1105"/>
      <c r="O132" s="1059"/>
    </row>
    <row r="133" spans="1:15">
      <c r="A133" s="1149"/>
      <c r="B133" s="1148"/>
      <c r="C133" s="279" t="s">
        <v>170</v>
      </c>
      <c r="D133" s="361">
        <v>15</v>
      </c>
      <c r="E133" s="379"/>
      <c r="F133" s="1082"/>
      <c r="G133" s="1087"/>
      <c r="H133" s="1078"/>
      <c r="I133" s="1079"/>
      <c r="J133" s="1065"/>
      <c r="K133" s="1111"/>
      <c r="L133" s="1090"/>
      <c r="M133" s="1069"/>
      <c r="N133" s="1105"/>
      <c r="O133" s="1059"/>
    </row>
    <row r="134" spans="1:15" ht="14.25" customHeight="1">
      <c r="A134" s="963" t="s">
        <v>604</v>
      </c>
      <c r="B134" s="1009" t="s">
        <v>605</v>
      </c>
      <c r="C134" s="279" t="s">
        <v>770</v>
      </c>
      <c r="D134" s="297">
        <v>8</v>
      </c>
      <c r="E134" s="379"/>
      <c r="F134" s="1082" t="s">
        <v>606</v>
      </c>
      <c r="G134" s="1087">
        <v>4</v>
      </c>
      <c r="H134" s="1120"/>
      <c r="I134" s="1097">
        <f>IF(AND((E134+E135+E136+E137+E138+E139+E140+E141+E142+E143+E144+E145+E146+E147)&gt;=1,H134&gt;0),G134*H134+D134*E134+D135*E135+D136*E136+D137*E137+D138*E138+D139*E139+D140*E140+D141*E141+D142*E142+D143*E143+D144*E144+D145*E145+D146*E146+D147*E147,0)</f>
        <v>0</v>
      </c>
      <c r="J134" s="1065">
        <v>5</v>
      </c>
      <c r="K134" s="1088" t="s">
        <v>55</v>
      </c>
      <c r="L134" s="1113" t="s">
        <v>18</v>
      </c>
      <c r="M134" s="1107" t="str">
        <f>IF(H134&lt;5,"许可没有达到最低要求","SUCCESS")</f>
        <v>许可没有达到最低要求</v>
      </c>
      <c r="N134" s="1104" t="s">
        <v>817</v>
      </c>
      <c r="O134" s="1060"/>
    </row>
    <row r="135" spans="1:15">
      <c r="A135" s="963"/>
      <c r="B135" s="1009"/>
      <c r="C135" s="279" t="s">
        <v>607</v>
      </c>
      <c r="D135" s="297">
        <v>8</v>
      </c>
      <c r="E135" s="379"/>
      <c r="F135" s="1082"/>
      <c r="G135" s="1087"/>
      <c r="H135" s="1120"/>
      <c r="I135" s="1097"/>
      <c r="J135" s="1065"/>
      <c r="K135" s="1088"/>
      <c r="L135" s="1113"/>
      <c r="M135" s="1107"/>
      <c r="N135" s="1104"/>
      <c r="O135" s="1060"/>
    </row>
    <row r="136" spans="1:15">
      <c r="A136" s="963"/>
      <c r="B136" s="1009"/>
      <c r="C136" s="279" t="s">
        <v>608</v>
      </c>
      <c r="D136" s="297">
        <v>8</v>
      </c>
      <c r="E136" s="379"/>
      <c r="F136" s="1082"/>
      <c r="G136" s="1087"/>
      <c r="H136" s="1120"/>
      <c r="I136" s="1097"/>
      <c r="J136" s="1065"/>
      <c r="K136" s="1088"/>
      <c r="L136" s="1113"/>
      <c r="M136" s="1107"/>
      <c r="N136" s="1104"/>
      <c r="O136" s="1060"/>
    </row>
    <row r="137" spans="1:15">
      <c r="A137" s="963"/>
      <c r="B137" s="1009"/>
      <c r="C137" s="279" t="s">
        <v>609</v>
      </c>
      <c r="D137" s="297">
        <v>15</v>
      </c>
      <c r="E137" s="379"/>
      <c r="F137" s="1082"/>
      <c r="G137" s="1087"/>
      <c r="H137" s="1120"/>
      <c r="I137" s="1097"/>
      <c r="J137" s="1065"/>
      <c r="K137" s="1088"/>
      <c r="L137" s="1113"/>
      <c r="M137" s="1107"/>
      <c r="N137" s="1104"/>
      <c r="O137" s="1060"/>
    </row>
    <row r="138" spans="1:15">
      <c r="A138" s="963"/>
      <c r="B138" s="1009"/>
      <c r="C138" s="279" t="s">
        <v>610</v>
      </c>
      <c r="D138" s="297">
        <v>10</v>
      </c>
      <c r="E138" s="379"/>
      <c r="F138" s="1082"/>
      <c r="G138" s="1087"/>
      <c r="H138" s="1120"/>
      <c r="I138" s="1097"/>
      <c r="J138" s="1065"/>
      <c r="K138" s="1088"/>
      <c r="L138" s="1113"/>
      <c r="M138" s="1107"/>
      <c r="N138" s="1104"/>
      <c r="O138" s="1060"/>
    </row>
    <row r="139" spans="1:15">
      <c r="A139" s="963"/>
      <c r="B139" s="1009"/>
      <c r="C139" s="279" t="s">
        <v>771</v>
      </c>
      <c r="D139" s="297">
        <v>12</v>
      </c>
      <c r="E139" s="379"/>
      <c r="F139" s="1082"/>
      <c r="G139" s="1087"/>
      <c r="H139" s="1120"/>
      <c r="I139" s="1097"/>
      <c r="J139" s="1065"/>
      <c r="K139" s="1088"/>
      <c r="L139" s="1113"/>
      <c r="M139" s="1107"/>
      <c r="N139" s="1104"/>
      <c r="O139" s="1060"/>
    </row>
    <row r="140" spans="1:15">
      <c r="A140" s="963"/>
      <c r="B140" s="1009"/>
      <c r="C140" s="279" t="s">
        <v>763</v>
      </c>
      <c r="D140" s="297">
        <v>15</v>
      </c>
      <c r="E140" s="379"/>
      <c r="F140" s="1082"/>
      <c r="G140" s="1087"/>
      <c r="H140" s="1120"/>
      <c r="I140" s="1097"/>
      <c r="J140" s="1065"/>
      <c r="K140" s="1088"/>
      <c r="L140" s="1113"/>
      <c r="M140" s="1107"/>
      <c r="N140" s="1104"/>
      <c r="O140" s="1060"/>
    </row>
    <row r="141" spans="1:15">
      <c r="A141" s="963"/>
      <c r="B141" s="1009"/>
      <c r="C141" s="550" t="s">
        <v>764</v>
      </c>
      <c r="D141" s="297">
        <v>10</v>
      </c>
      <c r="E141" s="379"/>
      <c r="F141" s="1082"/>
      <c r="G141" s="1087"/>
      <c r="H141" s="1120"/>
      <c r="I141" s="1097"/>
      <c r="J141" s="1065"/>
      <c r="K141" s="1088"/>
      <c r="L141" s="1113"/>
      <c r="M141" s="1107"/>
      <c r="N141" s="1104"/>
      <c r="O141" s="1060"/>
    </row>
    <row r="142" spans="1:15">
      <c r="A142" s="963"/>
      <c r="B142" s="1009"/>
      <c r="C142" s="279" t="s">
        <v>615</v>
      </c>
      <c r="D142" s="297">
        <v>8</v>
      </c>
      <c r="E142" s="379"/>
      <c r="F142" s="1082"/>
      <c r="G142" s="1087"/>
      <c r="H142" s="1120"/>
      <c r="I142" s="1097"/>
      <c r="J142" s="1065"/>
      <c r="K142" s="1088"/>
      <c r="L142" s="1113"/>
      <c r="M142" s="1107"/>
      <c r="N142" s="1104"/>
      <c r="O142" s="1060"/>
    </row>
    <row r="143" spans="1:15">
      <c r="A143" s="963"/>
      <c r="B143" s="1009"/>
      <c r="C143" s="279" t="s">
        <v>772</v>
      </c>
      <c r="D143" s="297">
        <v>8</v>
      </c>
      <c r="E143" s="379"/>
      <c r="F143" s="1082"/>
      <c r="G143" s="1087"/>
      <c r="H143" s="1120"/>
      <c r="I143" s="1097"/>
      <c r="J143" s="1065"/>
      <c r="K143" s="1088"/>
      <c r="L143" s="1113"/>
      <c r="M143" s="1107"/>
      <c r="N143" s="1104"/>
      <c r="O143" s="1060"/>
    </row>
    <row r="144" spans="1:15">
      <c r="A144" s="963"/>
      <c r="B144" s="1009"/>
      <c r="C144" s="279" t="s">
        <v>613</v>
      </c>
      <c r="D144" s="297">
        <v>10</v>
      </c>
      <c r="E144" s="379"/>
      <c r="F144" s="1082"/>
      <c r="G144" s="1087"/>
      <c r="H144" s="1120"/>
      <c r="I144" s="1097"/>
      <c r="J144" s="1065"/>
      <c r="K144" s="1088"/>
      <c r="L144" s="1113"/>
      <c r="M144" s="1107"/>
      <c r="N144" s="1104"/>
      <c r="O144" s="1060"/>
    </row>
    <row r="145" spans="1:15">
      <c r="A145" s="963"/>
      <c r="B145" s="1009"/>
      <c r="C145" s="279" t="s">
        <v>614</v>
      </c>
      <c r="D145" s="297">
        <v>8</v>
      </c>
      <c r="E145" s="379"/>
      <c r="F145" s="1082"/>
      <c r="G145" s="1087"/>
      <c r="H145" s="1120"/>
      <c r="I145" s="1097"/>
      <c r="J145" s="1065"/>
      <c r="K145" s="1088"/>
      <c r="L145" s="1113"/>
      <c r="M145" s="1107"/>
      <c r="N145" s="1104"/>
      <c r="O145" s="1060"/>
    </row>
    <row r="146" spans="1:15">
      <c r="A146" s="963"/>
      <c r="B146" s="1009"/>
      <c r="C146" s="279" t="s">
        <v>616</v>
      </c>
      <c r="D146" s="297">
        <v>15</v>
      </c>
      <c r="E146" s="379"/>
      <c r="F146" s="1082"/>
      <c r="G146" s="1087"/>
      <c r="H146" s="1120"/>
      <c r="I146" s="1097"/>
      <c r="J146" s="1065"/>
      <c r="K146" s="1088"/>
      <c r="L146" s="1113"/>
      <c r="M146" s="1107"/>
      <c r="N146" s="1104"/>
      <c r="O146" s="1060"/>
    </row>
    <row r="147" spans="1:15">
      <c r="A147" s="963"/>
      <c r="B147" s="1009"/>
      <c r="C147" s="279" t="s">
        <v>617</v>
      </c>
      <c r="D147" s="297">
        <v>30</v>
      </c>
      <c r="E147" s="379"/>
      <c r="F147" s="1082"/>
      <c r="G147" s="1087"/>
      <c r="H147" s="1120"/>
      <c r="I147" s="1097"/>
      <c r="J147" s="1065"/>
      <c r="K147" s="1088"/>
      <c r="L147" s="1113"/>
      <c r="M147" s="1107"/>
      <c r="N147" s="1104"/>
      <c r="O147" s="1060"/>
    </row>
    <row r="148" spans="1:15" ht="14.25" customHeight="1">
      <c r="A148" s="1103" t="s">
        <v>171</v>
      </c>
      <c r="B148" s="1085" t="s">
        <v>171</v>
      </c>
      <c r="C148" s="279" t="s">
        <v>172</v>
      </c>
      <c r="D148" s="297">
        <v>5</v>
      </c>
      <c r="E148" s="379"/>
      <c r="F148" s="1082" t="s">
        <v>16</v>
      </c>
      <c r="G148" s="1080">
        <v>2</v>
      </c>
      <c r="H148" s="985"/>
      <c r="I148" s="1110">
        <f>IF(AND((E148+E149+E150+E151+E152+E153+E154+E155+E156+E157+E158+E159+E160+E161)&gt;=1,H148&gt;0),D148*E148+D149*E149+D150*E150+D151*E151+D152*E152+D153*E153+D154*E154+D155*E155+D156*E156+D157*E157+D158*E158+D159*E159+E160*D160+D161*E161+G148*H148,0)</f>
        <v>0</v>
      </c>
      <c r="J148" s="954">
        <v>5</v>
      </c>
      <c r="K148" s="1079" t="s">
        <v>110</v>
      </c>
      <c r="L148" s="1090" t="s">
        <v>22</v>
      </c>
      <c r="M148" s="1069" t="str">
        <f>IF(H148&lt;5,"许可没有达到最低要求","SUCCESS")</f>
        <v>许可没有达到最低要求</v>
      </c>
      <c r="N148" s="1105" t="s">
        <v>568</v>
      </c>
      <c r="O148" s="1057" t="s">
        <v>150</v>
      </c>
    </row>
    <row r="149" spans="1:15">
      <c r="A149" s="1103"/>
      <c r="B149" s="1085"/>
      <c r="C149" s="279" t="s">
        <v>173</v>
      </c>
      <c r="D149" s="297">
        <v>5</v>
      </c>
      <c r="E149" s="379"/>
      <c r="F149" s="1082"/>
      <c r="G149" s="1080"/>
      <c r="H149" s="985"/>
      <c r="I149" s="1110"/>
      <c r="J149" s="954"/>
      <c r="K149" s="1079"/>
      <c r="L149" s="1090"/>
      <c r="M149" s="1069"/>
      <c r="N149" s="1105"/>
      <c r="O149" s="1057"/>
    </row>
    <row r="150" spans="1:15">
      <c r="A150" s="1103"/>
      <c r="B150" s="1085"/>
      <c r="C150" s="279" t="s">
        <v>174</v>
      </c>
      <c r="D150" s="297">
        <v>5</v>
      </c>
      <c r="E150" s="379"/>
      <c r="F150" s="1082"/>
      <c r="G150" s="1080"/>
      <c r="H150" s="985"/>
      <c r="I150" s="1110"/>
      <c r="J150" s="954"/>
      <c r="K150" s="1079"/>
      <c r="L150" s="1090"/>
      <c r="M150" s="1069"/>
      <c r="N150" s="1105"/>
      <c r="O150" s="1057"/>
    </row>
    <row r="151" spans="1:15">
      <c r="A151" s="1103"/>
      <c r="B151" s="1085"/>
      <c r="C151" s="279" t="s">
        <v>175</v>
      </c>
      <c r="D151" s="297">
        <v>5</v>
      </c>
      <c r="E151" s="379"/>
      <c r="F151" s="1082"/>
      <c r="G151" s="1080"/>
      <c r="H151" s="985"/>
      <c r="I151" s="1110"/>
      <c r="J151" s="954"/>
      <c r="K151" s="1079"/>
      <c r="L151" s="1090"/>
      <c r="M151" s="1069"/>
      <c r="N151" s="1105"/>
      <c r="O151" s="1057"/>
    </row>
    <row r="152" spans="1:15">
      <c r="A152" s="1103"/>
      <c r="B152" s="1085"/>
      <c r="C152" s="279" t="s">
        <v>683</v>
      </c>
      <c r="D152" s="222">
        <v>15</v>
      </c>
      <c r="E152" s="379"/>
      <c r="F152" s="1082"/>
      <c r="G152" s="1080"/>
      <c r="H152" s="985"/>
      <c r="I152" s="1110"/>
      <c r="J152" s="954"/>
      <c r="K152" s="1079"/>
      <c r="L152" s="1090"/>
      <c r="M152" s="1069"/>
      <c r="N152" s="1105"/>
      <c r="O152" s="1057"/>
    </row>
    <row r="153" spans="1:15">
      <c r="A153" s="1103"/>
      <c r="B153" s="1085"/>
      <c r="C153" s="279" t="s">
        <v>680</v>
      </c>
      <c r="D153" s="222">
        <v>15</v>
      </c>
      <c r="E153" s="379"/>
      <c r="F153" s="1082"/>
      <c r="G153" s="1080"/>
      <c r="H153" s="985"/>
      <c r="I153" s="1110"/>
      <c r="J153" s="954"/>
      <c r="K153" s="1079"/>
      <c r="L153" s="1090"/>
      <c r="M153" s="1069"/>
      <c r="N153" s="1105"/>
      <c r="O153" s="1057"/>
    </row>
    <row r="154" spans="1:15">
      <c r="A154" s="1103"/>
      <c r="B154" s="1085"/>
      <c r="C154" s="279" t="s">
        <v>682</v>
      </c>
      <c r="D154" s="223">
        <v>10</v>
      </c>
      <c r="E154" s="379"/>
      <c r="F154" s="1082"/>
      <c r="G154" s="1080"/>
      <c r="H154" s="985"/>
      <c r="I154" s="1110"/>
      <c r="J154" s="954"/>
      <c r="K154" s="1079"/>
      <c r="L154" s="1090"/>
      <c r="M154" s="1069"/>
      <c r="N154" s="1105"/>
      <c r="O154" s="1057"/>
    </row>
    <row r="155" spans="1:15">
      <c r="A155" s="1103"/>
      <c r="B155" s="1085"/>
      <c r="C155" s="279" t="s">
        <v>684</v>
      </c>
      <c r="D155" s="222">
        <v>25</v>
      </c>
      <c r="E155" s="379"/>
      <c r="F155" s="1082"/>
      <c r="G155" s="1080"/>
      <c r="H155" s="985"/>
      <c r="I155" s="1110"/>
      <c r="J155" s="954"/>
      <c r="K155" s="1079"/>
      <c r="L155" s="1090"/>
      <c r="M155" s="1069"/>
      <c r="N155" s="1105"/>
      <c r="O155" s="1057"/>
    </row>
    <row r="156" spans="1:15">
      <c r="A156" s="1103"/>
      <c r="B156" s="1085"/>
      <c r="C156" s="279" t="s">
        <v>685</v>
      </c>
      <c r="D156" s="222">
        <v>20</v>
      </c>
      <c r="E156" s="379"/>
      <c r="F156" s="1082"/>
      <c r="G156" s="1080"/>
      <c r="H156" s="985"/>
      <c r="I156" s="1110"/>
      <c r="J156" s="954"/>
      <c r="K156" s="1079"/>
      <c r="L156" s="1090"/>
      <c r="M156" s="1069"/>
      <c r="N156" s="1105"/>
      <c r="O156" s="1057"/>
    </row>
    <row r="157" spans="1:15">
      <c r="A157" s="1103"/>
      <c r="B157" s="1085"/>
      <c r="C157" s="9" t="s">
        <v>686</v>
      </c>
      <c r="D157" s="222">
        <v>40</v>
      </c>
      <c r="E157" s="379"/>
      <c r="F157" s="1082"/>
      <c r="G157" s="1080"/>
      <c r="H157" s="985"/>
      <c r="I157" s="1110"/>
      <c r="J157" s="954"/>
      <c r="K157" s="1079"/>
      <c r="L157" s="1090"/>
      <c r="M157" s="1069"/>
      <c r="N157" s="1105"/>
      <c r="O157" s="1057"/>
    </row>
    <row r="158" spans="1:15">
      <c r="A158" s="1103"/>
      <c r="B158" s="1085"/>
      <c r="C158" s="9" t="s">
        <v>176</v>
      </c>
      <c r="D158" s="297">
        <v>20</v>
      </c>
      <c r="E158" s="379"/>
      <c r="F158" s="1082"/>
      <c r="G158" s="1080"/>
      <c r="H158" s="985"/>
      <c r="I158" s="1110"/>
      <c r="J158" s="954"/>
      <c r="K158" s="1079"/>
      <c r="L158" s="1090"/>
      <c r="M158" s="1069"/>
      <c r="N158" s="1105"/>
      <c r="O158" s="1057"/>
    </row>
    <row r="159" spans="1:15" ht="15" customHeight="1">
      <c r="A159" s="1103"/>
      <c r="B159" s="1119"/>
      <c r="C159" s="9" t="s">
        <v>177</v>
      </c>
      <c r="D159" s="297">
        <v>20</v>
      </c>
      <c r="E159" s="379"/>
      <c r="F159" s="1082"/>
      <c r="G159" s="1080"/>
      <c r="H159" s="985"/>
      <c r="I159" s="1110"/>
      <c r="J159" s="954"/>
      <c r="K159" s="1079"/>
      <c r="L159" s="1090"/>
      <c r="M159" s="1069"/>
      <c r="N159" s="1105"/>
      <c r="O159" s="1057"/>
    </row>
    <row r="160" spans="1:15" ht="15" customHeight="1">
      <c r="A160" s="1103"/>
      <c r="B160" s="1119"/>
      <c r="C160" s="9" t="s">
        <v>178</v>
      </c>
      <c r="D160" s="297">
        <v>20</v>
      </c>
      <c r="E160" s="379"/>
      <c r="F160" s="1082"/>
      <c r="G160" s="1080"/>
      <c r="H160" s="985"/>
      <c r="I160" s="1110"/>
      <c r="J160" s="954"/>
      <c r="K160" s="1079"/>
      <c r="L160" s="1090"/>
      <c r="M160" s="1069"/>
      <c r="N160" s="1105"/>
      <c r="O160" s="1057"/>
    </row>
    <row r="161" spans="1:15" ht="15" customHeight="1">
      <c r="A161" s="1103"/>
      <c r="B161" s="1119"/>
      <c r="C161" s="9" t="s">
        <v>179</v>
      </c>
      <c r="D161" s="297">
        <v>10</v>
      </c>
      <c r="E161" s="379"/>
      <c r="F161" s="1082"/>
      <c r="G161" s="1080"/>
      <c r="H161" s="985"/>
      <c r="I161" s="1110"/>
      <c r="J161" s="954"/>
      <c r="K161" s="1079"/>
      <c r="L161" s="1111"/>
      <c r="M161" s="1106"/>
      <c r="N161" s="1105"/>
      <c r="O161" s="1061"/>
    </row>
    <row r="162" spans="1:15">
      <c r="A162" s="1092" t="s">
        <v>180</v>
      </c>
      <c r="B162" s="1099" t="s">
        <v>180</v>
      </c>
      <c r="C162" s="279" t="s">
        <v>181</v>
      </c>
      <c r="D162" s="297">
        <v>10</v>
      </c>
      <c r="E162" s="379"/>
      <c r="F162" s="1082" t="s">
        <v>16</v>
      </c>
      <c r="G162" s="1123">
        <v>0.15</v>
      </c>
      <c r="H162" s="1109"/>
      <c r="I162" s="1079">
        <f>IF(AND((E162+E163)&gt;=1,H162&gt;0),D162*E162+D163*E163+G162*H162,0)</f>
        <v>0</v>
      </c>
      <c r="J162" s="1065">
        <v>50</v>
      </c>
      <c r="K162" s="1089" t="s">
        <v>182</v>
      </c>
      <c r="L162" s="1125" t="s">
        <v>18</v>
      </c>
      <c r="M162" s="1116" t="str">
        <f>IF(H162&lt;50,"许可没有达到最低要求","SUCCESS")</f>
        <v>许可没有达到最低要求</v>
      </c>
      <c r="N162" s="1105" t="s">
        <v>183</v>
      </c>
      <c r="O162" s="1059"/>
    </row>
    <row r="163" spans="1:15">
      <c r="A163" s="1092"/>
      <c r="B163" s="1099"/>
      <c r="C163" s="279" t="s">
        <v>184</v>
      </c>
      <c r="D163" s="297">
        <v>10</v>
      </c>
      <c r="E163" s="379"/>
      <c r="F163" s="1082"/>
      <c r="G163" s="1123"/>
      <c r="H163" s="1109"/>
      <c r="I163" s="1079"/>
      <c r="J163" s="1065"/>
      <c r="K163" s="1089"/>
      <c r="L163" s="1125"/>
      <c r="M163" s="1116"/>
      <c r="N163" s="1105"/>
      <c r="O163" s="1059"/>
    </row>
    <row r="164" spans="1:15" ht="14.25" customHeight="1">
      <c r="A164" s="1092" t="s">
        <v>188</v>
      </c>
      <c r="B164" s="1099" t="s">
        <v>526</v>
      </c>
      <c r="C164" s="279" t="s">
        <v>189</v>
      </c>
      <c r="D164" s="297">
        <v>10</v>
      </c>
      <c r="E164" s="379"/>
      <c r="F164" s="1082" t="s">
        <v>16</v>
      </c>
      <c r="G164" s="1123">
        <v>0.2</v>
      </c>
      <c r="H164" s="1109"/>
      <c r="I164" s="1079">
        <f>IF(AND((E164+E165+E166+E167+E168+E169+E170+E171+E172+E173+E174)&gt;=1,H164&gt;0),D164*E164+D165*E165+D166*E166+D167*E167+D168*E168+D169*E169+G164*H164+D170*E170+D171*E171+D172*E172+E173*D173+D174*E174,0)</f>
        <v>0</v>
      </c>
      <c r="J164" s="1065">
        <v>50</v>
      </c>
      <c r="K164" s="1089" t="s">
        <v>190</v>
      </c>
      <c r="L164" s="1125" t="s">
        <v>18</v>
      </c>
      <c r="M164" s="1116" t="str">
        <f>IF(H164&lt;50,"许可没有达到最低要求","SUCCESS")</f>
        <v>许可没有达到最低要求</v>
      </c>
      <c r="N164" s="1117" t="s">
        <v>664</v>
      </c>
      <c r="O164" s="1053" t="s">
        <v>191</v>
      </c>
    </row>
    <row r="165" spans="1:15" ht="14.25" customHeight="1">
      <c r="A165" s="1092"/>
      <c r="B165" s="1099"/>
      <c r="C165" s="130" t="s">
        <v>551</v>
      </c>
      <c r="D165" s="18">
        <v>5</v>
      </c>
      <c r="E165" s="379"/>
      <c r="F165" s="1082"/>
      <c r="G165" s="1123"/>
      <c r="H165" s="1109"/>
      <c r="I165" s="1079"/>
      <c r="J165" s="1065"/>
      <c r="K165" s="1089"/>
      <c r="L165" s="1125"/>
      <c r="M165" s="1116"/>
      <c r="N165" s="1117"/>
      <c r="O165" s="1053"/>
    </row>
    <row r="166" spans="1:15">
      <c r="A166" s="1092"/>
      <c r="B166" s="1099"/>
      <c r="C166" s="279" t="s">
        <v>192</v>
      </c>
      <c r="D166" s="297">
        <v>15</v>
      </c>
      <c r="E166" s="379"/>
      <c r="F166" s="1082"/>
      <c r="G166" s="1123"/>
      <c r="H166" s="1109"/>
      <c r="I166" s="1079"/>
      <c r="J166" s="1065"/>
      <c r="K166" s="1089"/>
      <c r="L166" s="1125"/>
      <c r="M166" s="1116"/>
      <c r="N166" s="1117"/>
      <c r="O166" s="1053"/>
    </row>
    <row r="167" spans="1:15">
      <c r="A167" s="1092"/>
      <c r="B167" s="1099"/>
      <c r="C167" s="279" t="s">
        <v>193</v>
      </c>
      <c r="D167" s="297">
        <v>20</v>
      </c>
      <c r="E167" s="379"/>
      <c r="F167" s="1082"/>
      <c r="G167" s="1123"/>
      <c r="H167" s="1109"/>
      <c r="I167" s="1079"/>
      <c r="J167" s="1065"/>
      <c r="K167" s="1089"/>
      <c r="L167" s="1125"/>
      <c r="M167" s="1116"/>
      <c r="N167" s="1117"/>
      <c r="O167" s="1053"/>
    </row>
    <row r="168" spans="1:15">
      <c r="A168" s="1092"/>
      <c r="B168" s="1099"/>
      <c r="C168" s="279" t="s">
        <v>194</v>
      </c>
      <c r="D168" s="297">
        <v>10</v>
      </c>
      <c r="E168" s="379"/>
      <c r="F168" s="1082"/>
      <c r="G168" s="1123"/>
      <c r="H168" s="1109"/>
      <c r="I168" s="1079"/>
      <c r="J168" s="1065"/>
      <c r="K168" s="1089"/>
      <c r="L168" s="1125"/>
      <c r="M168" s="1116"/>
      <c r="N168" s="1117"/>
      <c r="O168" s="1053"/>
    </row>
    <row r="169" spans="1:15">
      <c r="A169" s="1092"/>
      <c r="B169" s="1099"/>
      <c r="C169" s="279" t="s">
        <v>195</v>
      </c>
      <c r="D169" s="297">
        <v>10</v>
      </c>
      <c r="E169" s="379"/>
      <c r="F169" s="1082"/>
      <c r="G169" s="1123"/>
      <c r="H169" s="1109"/>
      <c r="I169" s="1079"/>
      <c r="J169" s="1065"/>
      <c r="K169" s="1089"/>
      <c r="L169" s="1125"/>
      <c r="M169" s="1116"/>
      <c r="N169" s="1117"/>
      <c r="O169" s="1053"/>
    </row>
    <row r="170" spans="1:15">
      <c r="A170" s="1092"/>
      <c r="B170" s="1099"/>
      <c r="C170" s="310" t="s">
        <v>196</v>
      </c>
      <c r="D170" s="297">
        <v>10</v>
      </c>
      <c r="E170" s="379"/>
      <c r="F170" s="1082"/>
      <c r="G170" s="1123"/>
      <c r="H170" s="1109"/>
      <c r="I170" s="1079"/>
      <c r="J170" s="1065"/>
      <c r="K170" s="1089"/>
      <c r="L170" s="1125"/>
      <c r="M170" s="1116"/>
      <c r="N170" s="1117"/>
      <c r="O170" s="1053"/>
    </row>
    <row r="171" spans="1:15">
      <c r="A171" s="1092"/>
      <c r="B171" s="1099"/>
      <c r="C171" s="310" t="s">
        <v>197</v>
      </c>
      <c r="D171" s="297">
        <v>10</v>
      </c>
      <c r="E171" s="379"/>
      <c r="F171" s="1082"/>
      <c r="G171" s="1123"/>
      <c r="H171" s="1109"/>
      <c r="I171" s="1079"/>
      <c r="J171" s="1065"/>
      <c r="K171" s="1089"/>
      <c r="L171" s="1125"/>
      <c r="M171" s="1116"/>
      <c r="N171" s="1117"/>
      <c r="O171" s="1053"/>
    </row>
    <row r="172" spans="1:15">
      <c r="A172" s="1092"/>
      <c r="B172" s="1099"/>
      <c r="C172" s="378" t="s">
        <v>198</v>
      </c>
      <c r="D172" s="330">
        <v>10</v>
      </c>
      <c r="E172" s="379"/>
      <c r="F172" s="1082"/>
      <c r="G172" s="1123"/>
      <c r="H172" s="1109"/>
      <c r="I172" s="1079"/>
      <c r="J172" s="1065"/>
      <c r="K172" s="1089"/>
      <c r="L172" s="1125"/>
      <c r="M172" s="1116"/>
      <c r="N172" s="1117"/>
      <c r="O172" s="1053"/>
    </row>
    <row r="173" spans="1:15">
      <c r="A173" s="1092"/>
      <c r="B173" s="1099"/>
      <c r="C173" s="378" t="s">
        <v>199</v>
      </c>
      <c r="D173" s="330">
        <v>10</v>
      </c>
      <c r="E173" s="379"/>
      <c r="F173" s="1082"/>
      <c r="G173" s="1123"/>
      <c r="H173" s="1109"/>
      <c r="I173" s="1079"/>
      <c r="J173" s="1065"/>
      <c r="K173" s="1089"/>
      <c r="L173" s="1125"/>
      <c r="M173" s="1116"/>
      <c r="N173" s="1117"/>
      <c r="O173" s="1053"/>
    </row>
    <row r="174" spans="1:15">
      <c r="A174" s="1092"/>
      <c r="B174" s="1099"/>
      <c r="C174" s="378" t="s">
        <v>200</v>
      </c>
      <c r="D174" s="330">
        <v>15</v>
      </c>
      <c r="E174" s="379"/>
      <c r="F174" s="1082"/>
      <c r="G174" s="1123"/>
      <c r="H174" s="1109"/>
      <c r="I174" s="1079"/>
      <c r="J174" s="1065"/>
      <c r="K174" s="1089"/>
      <c r="L174" s="1125"/>
      <c r="M174" s="1116"/>
      <c r="N174" s="1117"/>
      <c r="O174" s="1053"/>
    </row>
    <row r="175" spans="1:15" ht="35.25" customHeight="1">
      <c r="A175" s="1092"/>
      <c r="B175" s="79" t="s">
        <v>558</v>
      </c>
      <c r="C175" s="378" t="s">
        <v>556</v>
      </c>
      <c r="D175" s="330">
        <v>30</v>
      </c>
      <c r="E175" s="19"/>
      <c r="F175" s="175" t="s">
        <v>553</v>
      </c>
      <c r="G175" s="170" t="s">
        <v>553</v>
      </c>
      <c r="H175" s="117" t="s">
        <v>775</v>
      </c>
      <c r="I175" s="363">
        <f>IF(E175&gt;=1,E175*D175,0)</f>
        <v>0</v>
      </c>
      <c r="J175" s="172" t="s">
        <v>16</v>
      </c>
      <c r="K175" s="143" t="s">
        <v>139</v>
      </c>
      <c r="L175" s="171" t="s">
        <v>18</v>
      </c>
      <c r="M175" s="172" t="s">
        <v>16</v>
      </c>
      <c r="N175" s="395" t="s">
        <v>665</v>
      </c>
      <c r="O175" s="411"/>
    </row>
    <row r="176" spans="1:15" ht="36">
      <c r="A176" s="1092"/>
      <c r="B176" s="79" t="s">
        <v>561</v>
      </c>
      <c r="C176" s="378" t="s">
        <v>557</v>
      </c>
      <c r="D176" s="330">
        <v>20</v>
      </c>
      <c r="E176" s="19"/>
      <c r="F176" s="175" t="s">
        <v>553</v>
      </c>
      <c r="G176" s="170" t="s">
        <v>553</v>
      </c>
      <c r="H176" s="117" t="s">
        <v>774</v>
      </c>
      <c r="I176" s="363">
        <f t="shared" ref="I176:I177" si="0">IF(E176&gt;=1,E176*D176,0)</f>
        <v>0</v>
      </c>
      <c r="J176" s="172" t="s">
        <v>16</v>
      </c>
      <c r="K176" s="143" t="s">
        <v>139</v>
      </c>
      <c r="L176" s="171" t="s">
        <v>18</v>
      </c>
      <c r="M176" s="172" t="s">
        <v>16</v>
      </c>
      <c r="N176" s="395" t="s">
        <v>664</v>
      </c>
      <c r="O176" s="411"/>
    </row>
    <row r="177" spans="1:95">
      <c r="A177" s="1092"/>
      <c r="B177" s="79" t="s">
        <v>563</v>
      </c>
      <c r="C177" s="378" t="s">
        <v>555</v>
      </c>
      <c r="D177" s="330">
        <v>5</v>
      </c>
      <c r="E177" s="19"/>
      <c r="F177" s="175" t="s">
        <v>463</v>
      </c>
      <c r="G177" s="170" t="s">
        <v>463</v>
      </c>
      <c r="H177" s="117" t="s">
        <v>774</v>
      </c>
      <c r="I177" s="363">
        <f t="shared" si="0"/>
        <v>0</v>
      </c>
      <c r="J177" s="172" t="s">
        <v>16</v>
      </c>
      <c r="K177" s="143" t="s">
        <v>139</v>
      </c>
      <c r="L177" s="171" t="s">
        <v>18</v>
      </c>
      <c r="M177" s="172" t="s">
        <v>16</v>
      </c>
      <c r="N177" s="395" t="s">
        <v>666</v>
      </c>
      <c r="O177" s="411"/>
    </row>
    <row r="178" spans="1:95" ht="36">
      <c r="A178" s="1092"/>
      <c r="B178" s="377" t="s">
        <v>527</v>
      </c>
      <c r="C178" s="378" t="s">
        <v>201</v>
      </c>
      <c r="D178" s="330">
        <v>5</v>
      </c>
      <c r="E178" s="379"/>
      <c r="F178" s="358"/>
      <c r="G178" s="371" t="s">
        <v>16</v>
      </c>
      <c r="H178" s="26" t="s">
        <v>16</v>
      </c>
      <c r="I178" s="363">
        <f>IF(E178&gt;=1,D178*E178,0)</f>
        <v>0</v>
      </c>
      <c r="J178" s="504" t="s">
        <v>789</v>
      </c>
      <c r="K178" s="375" t="s">
        <v>139</v>
      </c>
      <c r="L178" s="376" t="s">
        <v>18</v>
      </c>
      <c r="M178" s="504" t="s">
        <v>16</v>
      </c>
      <c r="N178" s="395" t="s">
        <v>664</v>
      </c>
      <c r="O178" s="412"/>
    </row>
    <row r="179" spans="1:95" ht="14.25" customHeight="1">
      <c r="A179" s="1092"/>
      <c r="B179" s="1138" t="s">
        <v>202</v>
      </c>
      <c r="C179" s="1140" t="s">
        <v>202</v>
      </c>
      <c r="D179" s="1010" t="s">
        <v>16</v>
      </c>
      <c r="E179" s="1077"/>
      <c r="F179" s="358" t="s">
        <v>203</v>
      </c>
      <c r="G179" s="371">
        <v>0.05</v>
      </c>
      <c r="H179" s="1109"/>
      <c r="I179" s="1145">
        <f>IF(H179&lt;=500,H179*0.05,IF(H179&lt;=2000,500*0.05+(H179-500)*0.04,(500*0.05+1500*0.04+(H179-2000)*0.03)))</f>
        <v>0</v>
      </c>
      <c r="J179" s="1065">
        <v>100</v>
      </c>
      <c r="K179" s="1132" t="s">
        <v>110</v>
      </c>
      <c r="L179" s="1134" t="s">
        <v>18</v>
      </c>
      <c r="M179" s="1136" t="str">
        <f>IF(H179&lt;100,"许可没有达到最低要求","SUCCESS")</f>
        <v>许可没有达到最低要求</v>
      </c>
      <c r="N179" s="1117" t="s">
        <v>664</v>
      </c>
      <c r="O179" s="936"/>
    </row>
    <row r="180" spans="1:95">
      <c r="A180" s="1092"/>
      <c r="B180" s="1138"/>
      <c r="C180" s="1140"/>
      <c r="D180" s="1010"/>
      <c r="E180" s="1077"/>
      <c r="F180" s="358" t="s">
        <v>122</v>
      </c>
      <c r="G180" s="371">
        <v>0.04</v>
      </c>
      <c r="H180" s="1109"/>
      <c r="I180" s="1145"/>
      <c r="J180" s="1065"/>
      <c r="K180" s="1132"/>
      <c r="L180" s="1134"/>
      <c r="M180" s="1136"/>
      <c r="N180" s="1117"/>
      <c r="O180" s="936"/>
    </row>
    <row r="181" spans="1:95" ht="14.25" customHeight="1" thickBot="1">
      <c r="A181" s="1122"/>
      <c r="B181" s="1139"/>
      <c r="C181" s="1141"/>
      <c r="D181" s="1142"/>
      <c r="E181" s="1143"/>
      <c r="F181" s="126" t="s">
        <v>204</v>
      </c>
      <c r="G181" s="127">
        <v>0.03</v>
      </c>
      <c r="H181" s="1144"/>
      <c r="I181" s="1146"/>
      <c r="J181" s="1131"/>
      <c r="K181" s="1133"/>
      <c r="L181" s="1135"/>
      <c r="M181" s="1137"/>
      <c r="N181" s="1124"/>
      <c r="O181" s="937"/>
    </row>
    <row r="182" spans="1:95" s="32" customFormat="1" ht="15" thickBot="1">
      <c r="A182" s="47" t="s">
        <v>205</v>
      </c>
      <c r="B182" s="48"/>
      <c r="C182" s="27" t="s">
        <v>16</v>
      </c>
      <c r="D182" s="414">
        <f>SUM(D3:D171)</f>
        <v>2590</v>
      </c>
      <c r="E182" s="27" t="s">
        <v>16</v>
      </c>
      <c r="F182" s="415"/>
      <c r="G182" s="27" t="s">
        <v>16</v>
      </c>
      <c r="H182" s="27" t="s">
        <v>16</v>
      </c>
      <c r="I182" s="28">
        <f>SUM(I3:I181)</f>
        <v>185</v>
      </c>
      <c r="J182" s="29"/>
      <c r="K182" s="30" t="s">
        <v>30</v>
      </c>
      <c r="L182" s="27" t="s">
        <v>16</v>
      </c>
      <c r="M182" s="27" t="s">
        <v>16</v>
      </c>
      <c r="N182" s="27"/>
      <c r="O182" s="31" t="s">
        <v>16</v>
      </c>
    </row>
    <row r="183" spans="1:95" s="32" customFormat="1" ht="14.25" customHeight="1">
      <c r="A183" s="413" t="s">
        <v>206</v>
      </c>
      <c r="B183" s="416" t="s">
        <v>206</v>
      </c>
      <c r="C183" s="33" t="s">
        <v>206</v>
      </c>
      <c r="D183" s="34" t="s">
        <v>16</v>
      </c>
      <c r="E183" s="35"/>
      <c r="F183" s="36"/>
      <c r="G183" s="34" t="s">
        <v>16</v>
      </c>
      <c r="H183" s="37" t="s">
        <v>16</v>
      </c>
      <c r="I183" s="38">
        <f>IF(E183=1,I182*0.15,0)</f>
        <v>0</v>
      </c>
      <c r="J183" s="39"/>
      <c r="K183" s="40" t="s">
        <v>127</v>
      </c>
      <c r="L183" s="41" t="s">
        <v>18</v>
      </c>
      <c r="M183" s="34" t="s">
        <v>16</v>
      </c>
      <c r="N183" s="418"/>
      <c r="O183" s="419" t="s">
        <v>207</v>
      </c>
    </row>
    <row r="184" spans="1:95" s="32" customFormat="1" ht="24">
      <c r="A184" s="1147" t="s">
        <v>208</v>
      </c>
      <c r="B184" s="417" t="s">
        <v>209</v>
      </c>
      <c r="C184" s="42" t="s">
        <v>209</v>
      </c>
      <c r="D184" s="8" t="s">
        <v>16</v>
      </c>
      <c r="E184" s="43"/>
      <c r="F184" s="44"/>
      <c r="G184" s="8" t="s">
        <v>16</v>
      </c>
      <c r="H184" s="3" t="s">
        <v>16</v>
      </c>
      <c r="I184" s="363">
        <f>IF(E184=1,I182*0.05,0)</f>
        <v>0</v>
      </c>
      <c r="J184" s="7"/>
      <c r="K184" s="351" t="s">
        <v>127</v>
      </c>
      <c r="L184" s="352" t="s">
        <v>18</v>
      </c>
      <c r="M184" s="8" t="s">
        <v>16</v>
      </c>
      <c r="N184" s="396"/>
      <c r="O184" s="420" t="s">
        <v>210</v>
      </c>
    </row>
    <row r="185" spans="1:95" s="32" customFormat="1" ht="24">
      <c r="A185" s="1147"/>
      <c r="B185" s="417" t="s">
        <v>211</v>
      </c>
      <c r="C185" s="42" t="s">
        <v>211</v>
      </c>
      <c r="D185" s="8" t="s">
        <v>16</v>
      </c>
      <c r="E185" s="43"/>
      <c r="F185" s="44"/>
      <c r="G185" s="8" t="s">
        <v>16</v>
      </c>
      <c r="H185" s="3" t="s">
        <v>16</v>
      </c>
      <c r="I185" s="363">
        <f>IF(E185=1,I182*0.1,0)</f>
        <v>0</v>
      </c>
      <c r="J185" s="7"/>
      <c r="K185" s="351" t="s">
        <v>127</v>
      </c>
      <c r="L185" s="352" t="s">
        <v>18</v>
      </c>
      <c r="M185" s="8" t="s">
        <v>16</v>
      </c>
      <c r="N185" s="396"/>
      <c r="O185" s="420" t="s">
        <v>212</v>
      </c>
    </row>
    <row r="186" spans="1:95" s="32" customFormat="1" ht="36" customHeight="1" thickBot="1">
      <c r="A186" s="444" t="s">
        <v>213</v>
      </c>
      <c r="B186" s="445" t="s">
        <v>214</v>
      </c>
      <c r="C186" s="436" t="s">
        <v>214</v>
      </c>
      <c r="D186" s="210" t="s">
        <v>16</v>
      </c>
      <c r="E186" s="437"/>
      <c r="F186" s="438"/>
      <c r="G186" s="210">
        <v>5</v>
      </c>
      <c r="H186" s="345"/>
      <c r="I186" s="346">
        <f>IF(E186=1,G186*H186,0)</f>
        <v>0</v>
      </c>
      <c r="J186" s="439"/>
      <c r="K186" s="440" t="s">
        <v>215</v>
      </c>
      <c r="L186" s="441" t="s">
        <v>18</v>
      </c>
      <c r="M186" s="210" t="s">
        <v>16</v>
      </c>
      <c r="N186" s="442"/>
      <c r="O186" s="443" t="s">
        <v>216</v>
      </c>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row>
    <row r="187" spans="1:95" s="53" customFormat="1" ht="18.75" customHeight="1" thickBot="1">
      <c r="A187" s="446" t="s">
        <v>205</v>
      </c>
      <c r="B187" s="447"/>
      <c r="C187" s="448" t="s">
        <v>16</v>
      </c>
      <c r="D187" s="449" t="s">
        <v>16</v>
      </c>
      <c r="E187" s="449" t="s">
        <v>16</v>
      </c>
      <c r="F187" s="450"/>
      <c r="G187" s="450" t="s">
        <v>16</v>
      </c>
      <c r="H187" s="449" t="s">
        <v>16</v>
      </c>
      <c r="I187" s="451">
        <f>SUM(I182:I186)</f>
        <v>185</v>
      </c>
      <c r="J187" s="452"/>
      <c r="K187" s="449" t="s">
        <v>16</v>
      </c>
      <c r="L187" s="449" t="s">
        <v>16</v>
      </c>
      <c r="M187" s="449" t="s">
        <v>16</v>
      </c>
      <c r="N187" s="450"/>
      <c r="O187" s="453"/>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50"/>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45"/>
      <c r="CQ187" s="52"/>
    </row>
    <row r="188" spans="1:95" ht="134.25" customHeight="1" thickBot="1">
      <c r="A188" s="455" t="s">
        <v>217</v>
      </c>
      <c r="B188" s="456"/>
      <c r="C188" s="457" t="s">
        <v>218</v>
      </c>
      <c r="D188" s="421" t="s">
        <v>16</v>
      </c>
      <c r="E188" s="422"/>
      <c r="F188" s="423"/>
      <c r="G188" s="424">
        <v>0.3</v>
      </c>
      <c r="H188" s="425"/>
      <c r="I188" s="426">
        <f>IF(E188=1,G188*H188,0)</f>
        <v>0</v>
      </c>
      <c r="J188" s="427"/>
      <c r="K188" s="428" t="s">
        <v>219</v>
      </c>
      <c r="L188" s="429" t="s">
        <v>16</v>
      </c>
      <c r="M188" s="430" t="s">
        <v>16</v>
      </c>
      <c r="N188" s="433"/>
      <c r="O188" s="431" t="s">
        <v>783</v>
      </c>
    </row>
    <row r="189" spans="1:95" s="32" customFormat="1" ht="15" thickBot="1">
      <c r="A189" s="454" t="s">
        <v>220</v>
      </c>
      <c r="B189" s="454"/>
      <c r="C189" s="432" t="s">
        <v>16</v>
      </c>
      <c r="D189" s="112" t="s">
        <v>16</v>
      </c>
      <c r="E189" s="112" t="s">
        <v>16</v>
      </c>
      <c r="F189" s="380"/>
      <c r="G189" s="112" t="s">
        <v>16</v>
      </c>
      <c r="H189" s="112" t="s">
        <v>16</v>
      </c>
      <c r="I189" s="113">
        <f>SUM(I187:I188)</f>
        <v>185</v>
      </c>
      <c r="J189" s="114"/>
      <c r="K189" s="115" t="s">
        <v>16</v>
      </c>
      <c r="L189" s="112" t="s">
        <v>16</v>
      </c>
      <c r="M189" s="112" t="s">
        <v>16</v>
      </c>
      <c r="N189" s="380"/>
      <c r="O189" s="116" t="s">
        <v>16</v>
      </c>
    </row>
    <row r="190" spans="1:95" s="32" customFormat="1" ht="125.25" customHeight="1" thickBot="1">
      <c r="A190" s="55" t="s">
        <v>221</v>
      </c>
      <c r="B190" s="110"/>
      <c r="C190" s="1129" t="s">
        <v>641</v>
      </c>
      <c r="D190" s="1130"/>
      <c r="E190" s="1130"/>
      <c r="F190" s="1130"/>
      <c r="G190" s="1130"/>
      <c r="H190" s="1130"/>
      <c r="I190" s="1130"/>
      <c r="J190" s="1130"/>
      <c r="K190" s="1130"/>
      <c r="L190" s="1130"/>
      <c r="M190" s="1130"/>
      <c r="N190" s="434"/>
      <c r="O190" s="435"/>
    </row>
    <row r="191" spans="1:95" s="32" customFormat="1">
      <c r="A191" s="281"/>
      <c r="B191" s="282"/>
      <c r="C191" s="281"/>
      <c r="D191" s="56"/>
      <c r="E191" s="56"/>
      <c r="F191" s="56"/>
      <c r="G191" s="283"/>
      <c r="H191" s="56"/>
      <c r="I191" s="284"/>
      <c r="J191" s="284"/>
      <c r="K191" s="285"/>
      <c r="L191" s="286"/>
      <c r="M191" s="286"/>
      <c r="N191" s="287"/>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row>
    <row r="192" spans="1:95" s="32" customFormat="1">
      <c r="A192" s="281"/>
      <c r="B192" s="282"/>
      <c r="C192" s="281"/>
      <c r="D192" s="56"/>
      <c r="E192" s="56"/>
      <c r="F192" s="56"/>
      <c r="G192" s="283"/>
      <c r="H192" s="56"/>
      <c r="I192" s="284"/>
      <c r="J192" s="284"/>
      <c r="K192" s="285"/>
      <c r="L192" s="286"/>
      <c r="M192" s="286"/>
      <c r="N192" s="287"/>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row>
    <row r="193" spans="1:48">
      <c r="A193" s="288"/>
      <c r="B193" s="289"/>
      <c r="C193" s="288"/>
      <c r="D193" s="4"/>
      <c r="E193" s="4"/>
      <c r="G193" s="290"/>
      <c r="H193" s="4"/>
      <c r="I193" s="291"/>
      <c r="J193" s="284"/>
      <c r="K193" s="292"/>
      <c r="L193" s="4"/>
      <c r="M193" s="4"/>
      <c r="N193" s="293"/>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row>
    <row r="194" spans="1:48">
      <c r="A194" s="288"/>
      <c r="B194" s="289"/>
      <c r="C194" s="288"/>
      <c r="D194" s="4"/>
      <c r="E194" s="4"/>
      <c r="G194" s="290"/>
      <c r="H194" s="4"/>
      <c r="I194" s="291"/>
      <c r="J194" s="284"/>
      <c r="K194" s="292"/>
      <c r="L194" s="4"/>
      <c r="M194" s="4"/>
      <c r="N194" s="293"/>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row>
    <row r="195" spans="1:48">
      <c r="A195" s="288"/>
      <c r="B195" s="289"/>
      <c r="C195" s="288"/>
      <c r="D195" s="4"/>
      <c r="E195" s="4"/>
      <c r="G195" s="290"/>
      <c r="H195" s="4"/>
      <c r="I195" s="291"/>
      <c r="J195" s="284"/>
      <c r="K195" s="292"/>
      <c r="L195" s="4"/>
      <c r="M195" s="4"/>
      <c r="N195" s="293"/>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row>
    <row r="196" spans="1:48">
      <c r="A196" s="288"/>
      <c r="B196" s="289"/>
      <c r="C196" s="288"/>
      <c r="D196" s="4"/>
      <c r="E196" s="4"/>
      <c r="G196" s="290"/>
      <c r="H196" s="4"/>
      <c r="I196" s="291"/>
      <c r="J196" s="284"/>
      <c r="K196" s="292"/>
      <c r="L196" s="4"/>
      <c r="M196" s="4"/>
      <c r="N196" s="293"/>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row>
    <row r="197" spans="1:48">
      <c r="A197" s="288"/>
      <c r="B197" s="289"/>
      <c r="C197" s="288"/>
      <c r="D197" s="4"/>
      <c r="E197" s="4"/>
      <c r="G197" s="290"/>
      <c r="H197" s="4"/>
      <c r="I197" s="291"/>
      <c r="J197" s="284"/>
      <c r="K197" s="292"/>
      <c r="L197" s="4"/>
      <c r="M197" s="4"/>
      <c r="N197" s="293"/>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row>
    <row r="198" spans="1:48">
      <c r="A198" s="288"/>
      <c r="B198" s="289"/>
      <c r="C198" s="288"/>
      <c r="D198" s="4"/>
      <c r="E198" s="4"/>
      <c r="G198" s="290"/>
      <c r="H198" s="4"/>
      <c r="I198" s="291"/>
      <c r="J198" s="284"/>
      <c r="K198" s="292"/>
      <c r="L198" s="4"/>
      <c r="M198" s="4"/>
      <c r="N198" s="293"/>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row>
    <row r="199" spans="1:48">
      <c r="A199" s="288"/>
      <c r="B199" s="289"/>
      <c r="C199" s="288"/>
      <c r="D199" s="4"/>
      <c r="E199" s="4"/>
      <c r="G199" s="290"/>
      <c r="H199" s="4"/>
      <c r="I199" s="291"/>
      <c r="J199" s="284"/>
      <c r="K199" s="292"/>
      <c r="L199" s="4"/>
      <c r="M199" s="4"/>
      <c r="N199" s="293"/>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row>
    <row r="200" spans="1:48">
      <c r="A200" s="288"/>
      <c r="B200" s="289"/>
      <c r="C200" s="288"/>
      <c r="D200" s="4"/>
      <c r="E200" s="4"/>
      <c r="G200" s="290"/>
      <c r="H200" s="4"/>
      <c r="I200" s="291"/>
      <c r="J200" s="284"/>
      <c r="K200" s="292"/>
      <c r="L200" s="4"/>
      <c r="M200" s="4"/>
      <c r="N200" s="293"/>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row>
    <row r="201" spans="1:48">
      <c r="A201" s="288"/>
      <c r="B201" s="289"/>
      <c r="C201" s="288"/>
      <c r="D201" s="4"/>
      <c r="E201" s="4"/>
      <c r="G201" s="290"/>
      <c r="H201" s="4"/>
      <c r="I201" s="291"/>
      <c r="J201" s="284"/>
      <c r="K201" s="292"/>
      <c r="L201" s="4"/>
      <c r="M201" s="4"/>
      <c r="N201" s="293"/>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row>
    <row r="202" spans="1:48">
      <c r="A202" s="288"/>
      <c r="B202" s="289"/>
      <c r="C202" s="288"/>
      <c r="D202" s="4"/>
      <c r="E202" s="4"/>
      <c r="G202" s="290"/>
      <c r="H202" s="4"/>
      <c r="I202" s="291"/>
      <c r="J202" s="284"/>
      <c r="K202" s="292"/>
      <c r="L202" s="4"/>
      <c r="M202" s="4"/>
      <c r="N202" s="293"/>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row>
    <row r="203" spans="1:48">
      <c r="A203" s="288"/>
      <c r="B203" s="289"/>
      <c r="C203" s="288"/>
      <c r="D203" s="4"/>
      <c r="E203" s="4"/>
      <c r="G203" s="290"/>
      <c r="H203" s="4"/>
      <c r="I203" s="291"/>
      <c r="J203" s="284"/>
      <c r="K203" s="292"/>
      <c r="L203" s="4"/>
      <c r="M203" s="4"/>
      <c r="N203" s="293"/>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row>
    <row r="204" spans="1:48">
      <c r="A204" s="288"/>
      <c r="B204" s="289"/>
      <c r="C204" s="288"/>
      <c r="D204" s="4"/>
      <c r="E204" s="4"/>
      <c r="G204" s="290"/>
      <c r="H204" s="4"/>
      <c r="I204" s="291"/>
      <c r="J204" s="284"/>
      <c r="K204" s="292"/>
      <c r="L204" s="4"/>
      <c r="M204" s="4"/>
      <c r="N204" s="293"/>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row>
    <row r="205" spans="1:48">
      <c r="A205" s="288"/>
      <c r="B205" s="289"/>
      <c r="C205" s="288"/>
      <c r="D205" s="4"/>
      <c r="E205" s="4"/>
      <c r="G205" s="290"/>
      <c r="H205" s="4"/>
      <c r="I205" s="291"/>
      <c r="J205" s="284"/>
      <c r="K205" s="292"/>
      <c r="L205" s="4"/>
      <c r="M205" s="4"/>
      <c r="N205" s="293"/>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row>
    <row r="206" spans="1:48">
      <c r="A206" s="288"/>
      <c r="B206" s="289"/>
      <c r="C206" s="288"/>
      <c r="D206" s="4"/>
      <c r="E206" s="4"/>
      <c r="G206" s="290"/>
      <c r="H206" s="4"/>
      <c r="I206" s="291"/>
      <c r="J206" s="284"/>
      <c r="K206" s="292"/>
      <c r="L206" s="4"/>
      <c r="M206" s="4"/>
      <c r="N206" s="293"/>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row>
    <row r="207" spans="1:48">
      <c r="A207" s="288"/>
      <c r="B207" s="289"/>
      <c r="C207" s="288"/>
      <c r="D207" s="4"/>
      <c r="E207" s="4"/>
      <c r="G207" s="290"/>
      <c r="H207" s="4"/>
      <c r="I207" s="291"/>
      <c r="J207" s="284"/>
      <c r="K207" s="292"/>
      <c r="L207" s="4"/>
      <c r="M207" s="4"/>
      <c r="N207" s="293"/>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row>
    <row r="208" spans="1:48">
      <c r="A208" s="288"/>
      <c r="B208" s="289"/>
      <c r="C208" s="288"/>
      <c r="D208" s="4"/>
      <c r="E208" s="4"/>
      <c r="G208" s="290"/>
      <c r="H208" s="4"/>
      <c r="I208" s="291"/>
      <c r="J208" s="284"/>
      <c r="K208" s="292"/>
      <c r="L208" s="4"/>
      <c r="M208" s="4"/>
      <c r="N208" s="293"/>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row>
    <row r="209" spans="1:48">
      <c r="A209" s="288"/>
      <c r="B209" s="289"/>
      <c r="C209" s="288"/>
      <c r="D209" s="4"/>
      <c r="E209" s="4"/>
      <c r="G209" s="290"/>
      <c r="H209" s="4"/>
      <c r="I209" s="291"/>
      <c r="J209" s="284"/>
      <c r="K209" s="292"/>
      <c r="L209" s="4"/>
      <c r="M209" s="4"/>
      <c r="N209" s="293"/>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row>
    <row r="210" spans="1:48">
      <c r="A210" s="288"/>
      <c r="B210" s="289"/>
      <c r="C210" s="288"/>
      <c r="D210" s="4"/>
      <c r="E210" s="4"/>
      <c r="G210" s="290"/>
      <c r="H210" s="4"/>
      <c r="I210" s="291"/>
      <c r="J210" s="284"/>
      <c r="K210" s="292"/>
      <c r="L210" s="4"/>
      <c r="M210" s="4"/>
      <c r="N210" s="293"/>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row>
    <row r="211" spans="1:48">
      <c r="A211" s="288"/>
      <c r="B211" s="289"/>
      <c r="C211" s="288"/>
      <c r="D211" s="4"/>
      <c r="E211" s="4"/>
      <c r="G211" s="290"/>
      <c r="H211" s="4"/>
      <c r="I211" s="291"/>
      <c r="J211" s="284"/>
      <c r="K211" s="292"/>
      <c r="L211" s="4"/>
      <c r="M211" s="4"/>
      <c r="N211" s="293"/>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row>
    <row r="212" spans="1:48">
      <c r="A212" s="288"/>
      <c r="B212" s="289"/>
      <c r="C212" s="288"/>
      <c r="D212" s="4"/>
      <c r="E212" s="4"/>
      <c r="G212" s="290"/>
      <c r="H212" s="4"/>
      <c r="I212" s="291"/>
      <c r="J212" s="284"/>
      <c r="K212" s="292"/>
      <c r="L212" s="4"/>
      <c r="M212" s="4"/>
      <c r="N212" s="293"/>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row>
    <row r="213" spans="1:48">
      <c r="A213" s="288"/>
      <c r="B213" s="289"/>
      <c r="C213" s="288"/>
      <c r="D213" s="4"/>
      <c r="E213" s="4"/>
      <c r="G213" s="290"/>
      <c r="H213" s="4"/>
      <c r="I213" s="291"/>
      <c r="J213" s="284"/>
      <c r="K213" s="292"/>
      <c r="L213" s="4"/>
      <c r="M213" s="4"/>
      <c r="N213" s="293"/>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row>
    <row r="214" spans="1:48">
      <c r="A214" s="288"/>
      <c r="B214" s="289"/>
      <c r="C214" s="288"/>
      <c r="D214" s="4"/>
      <c r="E214" s="4"/>
      <c r="G214" s="290"/>
      <c r="H214" s="4"/>
      <c r="I214" s="291"/>
      <c r="J214" s="284"/>
      <c r="K214" s="292"/>
      <c r="L214" s="4"/>
      <c r="M214" s="4"/>
      <c r="N214" s="293"/>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row>
    <row r="215" spans="1:48">
      <c r="A215" s="288"/>
      <c r="B215" s="289"/>
      <c r="C215" s="288"/>
      <c r="D215" s="4"/>
      <c r="E215" s="4"/>
      <c r="G215" s="290"/>
      <c r="H215" s="4"/>
      <c r="I215" s="291"/>
      <c r="J215" s="284"/>
      <c r="K215" s="292"/>
      <c r="L215" s="4"/>
      <c r="M215" s="4"/>
      <c r="N215" s="293"/>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row>
    <row r="216" spans="1:48">
      <c r="A216" s="288"/>
      <c r="B216" s="289"/>
      <c r="C216" s="288"/>
      <c r="D216" s="4"/>
      <c r="E216" s="4"/>
      <c r="G216" s="290"/>
      <c r="H216" s="4"/>
      <c r="I216" s="291"/>
      <c r="J216" s="284"/>
      <c r="K216" s="292"/>
      <c r="L216" s="4"/>
      <c r="M216" s="4"/>
      <c r="N216" s="293"/>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row>
    <row r="217" spans="1:48">
      <c r="A217" s="288"/>
      <c r="B217" s="289"/>
      <c r="C217" s="288"/>
      <c r="D217" s="4"/>
      <c r="E217" s="4"/>
      <c r="G217" s="290"/>
      <c r="H217" s="4"/>
      <c r="I217" s="291"/>
      <c r="J217" s="284"/>
      <c r="K217" s="292"/>
      <c r="L217" s="4"/>
      <c r="M217" s="4"/>
      <c r="N217" s="293"/>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row>
    <row r="218" spans="1:48">
      <c r="A218" s="288"/>
      <c r="B218" s="289"/>
      <c r="C218" s="288"/>
      <c r="D218" s="4"/>
      <c r="E218" s="4"/>
      <c r="G218" s="290"/>
      <c r="H218" s="4"/>
      <c r="I218" s="291"/>
      <c r="J218" s="284"/>
      <c r="K218" s="292"/>
      <c r="L218" s="4"/>
      <c r="M218" s="4"/>
      <c r="N218" s="293"/>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row>
    <row r="219" spans="1:48">
      <c r="A219" s="288"/>
      <c r="B219" s="289"/>
      <c r="C219" s="288"/>
      <c r="D219" s="4"/>
      <c r="E219" s="4"/>
      <c r="G219" s="290"/>
      <c r="H219" s="4"/>
      <c r="I219" s="291"/>
      <c r="J219" s="284"/>
      <c r="K219" s="292"/>
      <c r="L219" s="4"/>
      <c r="M219" s="4"/>
      <c r="N219" s="293"/>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row>
    <row r="220" spans="1:48">
      <c r="A220" s="288"/>
      <c r="B220" s="289"/>
      <c r="C220" s="288"/>
      <c r="D220" s="4"/>
      <c r="E220" s="4"/>
      <c r="G220" s="290"/>
      <c r="H220" s="4"/>
      <c r="I220" s="291"/>
      <c r="J220" s="284"/>
      <c r="K220" s="292"/>
      <c r="L220" s="4"/>
      <c r="M220" s="4"/>
      <c r="N220" s="293"/>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row>
    <row r="221" spans="1:48">
      <c r="A221" s="288"/>
      <c r="B221" s="289"/>
      <c r="C221" s="288"/>
      <c r="D221" s="4"/>
      <c r="E221" s="4"/>
      <c r="G221" s="290"/>
      <c r="H221" s="4"/>
      <c r="I221" s="291"/>
      <c r="J221" s="284"/>
      <c r="K221" s="292"/>
      <c r="L221" s="4"/>
      <c r="M221" s="4"/>
      <c r="N221" s="293"/>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row>
    <row r="222" spans="1:48">
      <c r="A222" s="288"/>
      <c r="B222" s="289"/>
      <c r="C222" s="288"/>
      <c r="D222" s="4"/>
      <c r="E222" s="4"/>
      <c r="G222" s="290"/>
      <c r="H222" s="4"/>
      <c r="I222" s="291"/>
      <c r="J222" s="284"/>
      <c r="K222" s="292"/>
      <c r="L222" s="4"/>
      <c r="M222" s="4"/>
      <c r="N222" s="293"/>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row>
    <row r="223" spans="1:48">
      <c r="A223" s="288"/>
      <c r="B223" s="289"/>
      <c r="C223" s="288"/>
      <c r="D223" s="4"/>
      <c r="E223" s="4"/>
      <c r="G223" s="290"/>
      <c r="H223" s="4"/>
      <c r="I223" s="291"/>
      <c r="J223" s="284"/>
      <c r="K223" s="292"/>
      <c r="L223" s="4"/>
      <c r="M223" s="4"/>
      <c r="N223" s="293"/>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row>
    <row r="224" spans="1:48">
      <c r="A224" s="288"/>
      <c r="B224" s="289"/>
      <c r="C224" s="288"/>
      <c r="D224" s="4"/>
      <c r="E224" s="4"/>
      <c r="G224" s="290"/>
      <c r="H224" s="4"/>
      <c r="I224" s="291"/>
      <c r="J224" s="284"/>
      <c r="K224" s="292"/>
      <c r="L224" s="4"/>
      <c r="M224" s="4"/>
      <c r="N224" s="293"/>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row>
    <row r="225" spans="1:48">
      <c r="A225" s="288"/>
      <c r="B225" s="289"/>
      <c r="C225" s="288"/>
      <c r="D225" s="4"/>
      <c r="E225" s="4"/>
      <c r="G225" s="290"/>
      <c r="H225" s="4"/>
      <c r="I225" s="291"/>
      <c r="J225" s="284"/>
      <c r="K225" s="292"/>
      <c r="L225" s="4"/>
      <c r="M225" s="4"/>
      <c r="N225" s="293"/>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row>
    <row r="226" spans="1:48">
      <c r="A226" s="288"/>
      <c r="B226" s="289"/>
      <c r="C226" s="288"/>
      <c r="D226" s="4"/>
      <c r="E226" s="4"/>
      <c r="G226" s="290"/>
      <c r="H226" s="4"/>
      <c r="I226" s="291"/>
      <c r="J226" s="284"/>
      <c r="K226" s="292"/>
      <c r="L226" s="4"/>
      <c r="M226" s="4"/>
      <c r="N226" s="293"/>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row>
    <row r="227" spans="1:48">
      <c r="A227" s="288"/>
      <c r="B227" s="289"/>
      <c r="C227" s="288"/>
      <c r="D227" s="4"/>
      <c r="E227" s="4"/>
      <c r="G227" s="290"/>
      <c r="H227" s="4"/>
      <c r="I227" s="291"/>
      <c r="J227" s="284"/>
      <c r="K227" s="292"/>
      <c r="L227" s="4"/>
      <c r="M227" s="4"/>
      <c r="N227" s="293"/>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row>
    <row r="228" spans="1:48">
      <c r="A228" s="288"/>
      <c r="B228" s="289"/>
      <c r="C228" s="288"/>
      <c r="D228" s="4"/>
      <c r="E228" s="4"/>
      <c r="G228" s="290"/>
      <c r="H228" s="4"/>
      <c r="I228" s="291"/>
      <c r="J228" s="284"/>
      <c r="K228" s="292"/>
      <c r="L228" s="4"/>
      <c r="M228" s="4"/>
      <c r="N228" s="293"/>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row>
    <row r="229" spans="1:48">
      <c r="A229" s="288"/>
      <c r="B229" s="289"/>
      <c r="C229" s="288"/>
      <c r="D229" s="4"/>
      <c r="E229" s="4"/>
      <c r="G229" s="290"/>
      <c r="H229" s="4"/>
      <c r="I229" s="291"/>
      <c r="J229" s="284"/>
      <c r="K229" s="292"/>
      <c r="L229" s="4"/>
      <c r="M229" s="4"/>
      <c r="N229" s="293"/>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row>
    <row r="230" spans="1:48">
      <c r="A230" s="288"/>
      <c r="B230" s="289"/>
      <c r="C230" s="288"/>
      <c r="D230" s="4"/>
      <c r="E230" s="4"/>
      <c r="G230" s="290"/>
      <c r="H230" s="4"/>
      <c r="I230" s="291"/>
      <c r="J230" s="284"/>
      <c r="K230" s="292"/>
      <c r="L230" s="4"/>
      <c r="M230" s="4"/>
      <c r="N230" s="293"/>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row>
    <row r="231" spans="1:48">
      <c r="A231" s="288"/>
      <c r="B231" s="289"/>
      <c r="C231" s="288"/>
      <c r="D231" s="4"/>
      <c r="E231" s="4"/>
      <c r="G231" s="290"/>
      <c r="H231" s="4"/>
      <c r="I231" s="291"/>
      <c r="J231" s="284"/>
      <c r="K231" s="292"/>
      <c r="L231" s="4"/>
      <c r="M231" s="4"/>
      <c r="N231" s="293"/>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row>
    <row r="232" spans="1:48">
      <c r="A232" s="288"/>
      <c r="B232" s="289"/>
      <c r="C232" s="288"/>
      <c r="D232" s="4"/>
      <c r="E232" s="4"/>
      <c r="G232" s="290"/>
      <c r="H232" s="4"/>
      <c r="I232" s="291"/>
      <c r="J232" s="284"/>
      <c r="K232" s="292"/>
      <c r="L232" s="4"/>
      <c r="M232" s="4"/>
      <c r="N232" s="293"/>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row>
    <row r="233" spans="1:48">
      <c r="A233" s="288"/>
      <c r="B233" s="289"/>
      <c r="C233" s="288"/>
      <c r="D233" s="4"/>
      <c r="E233" s="4"/>
      <c r="G233" s="290"/>
      <c r="H233" s="4"/>
      <c r="I233" s="291"/>
      <c r="J233" s="284"/>
      <c r="K233" s="292"/>
      <c r="L233" s="4"/>
      <c r="M233" s="4"/>
      <c r="N233" s="293"/>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row>
    <row r="234" spans="1:48">
      <c r="A234" s="288"/>
      <c r="B234" s="289"/>
      <c r="C234" s="288"/>
      <c r="D234" s="4"/>
      <c r="E234" s="4"/>
      <c r="G234" s="290"/>
      <c r="H234" s="4"/>
      <c r="I234" s="291"/>
      <c r="J234" s="284"/>
      <c r="K234" s="292"/>
      <c r="L234" s="4"/>
      <c r="M234" s="4"/>
      <c r="N234" s="293"/>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row>
    <row r="235" spans="1:48">
      <c r="A235" s="288"/>
      <c r="B235" s="289"/>
      <c r="C235" s="288"/>
      <c r="D235" s="4"/>
      <c r="E235" s="4"/>
      <c r="G235" s="290"/>
      <c r="H235" s="4"/>
      <c r="I235" s="291"/>
      <c r="J235" s="284"/>
      <c r="K235" s="292"/>
      <c r="L235" s="4"/>
      <c r="M235" s="4"/>
      <c r="N235" s="293"/>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row>
    <row r="236" spans="1:48">
      <c r="A236" s="288"/>
      <c r="B236" s="289"/>
      <c r="C236" s="288"/>
      <c r="D236" s="4"/>
      <c r="E236" s="4"/>
      <c r="G236" s="290"/>
      <c r="H236" s="4"/>
      <c r="I236" s="291"/>
      <c r="J236" s="284"/>
      <c r="K236" s="292"/>
      <c r="L236" s="4"/>
      <c r="M236" s="4"/>
      <c r="N236" s="293"/>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row>
    <row r="237" spans="1:48">
      <c r="A237" s="288"/>
      <c r="B237" s="289"/>
      <c r="C237" s="288"/>
      <c r="D237" s="4"/>
      <c r="E237" s="4"/>
      <c r="G237" s="290"/>
      <c r="H237" s="4"/>
      <c r="I237" s="291"/>
      <c r="J237" s="284"/>
      <c r="K237" s="292"/>
      <c r="L237" s="4"/>
      <c r="M237" s="4"/>
      <c r="N237" s="293"/>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row>
    <row r="238" spans="1:48">
      <c r="A238" s="288"/>
      <c r="B238" s="289"/>
      <c r="C238" s="288"/>
      <c r="D238" s="4"/>
      <c r="E238" s="4"/>
      <c r="G238" s="290"/>
      <c r="H238" s="4"/>
      <c r="I238" s="291"/>
      <c r="J238" s="284"/>
      <c r="K238" s="292"/>
      <c r="L238" s="4"/>
      <c r="M238" s="4"/>
      <c r="N238" s="293"/>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row>
    <row r="239" spans="1:48">
      <c r="A239" s="288"/>
      <c r="B239" s="289"/>
      <c r="C239" s="288"/>
      <c r="D239" s="4"/>
      <c r="E239" s="4"/>
      <c r="G239" s="290"/>
      <c r="H239" s="4"/>
      <c r="I239" s="291"/>
      <c r="J239" s="284"/>
      <c r="K239" s="292"/>
      <c r="L239" s="4"/>
      <c r="M239" s="4"/>
      <c r="N239" s="293"/>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row>
    <row r="240" spans="1:48">
      <c r="A240" s="288"/>
      <c r="B240" s="289"/>
      <c r="C240" s="288"/>
      <c r="D240" s="4"/>
      <c r="E240" s="4"/>
      <c r="G240" s="290"/>
      <c r="H240" s="4"/>
      <c r="I240" s="291"/>
      <c r="J240" s="284"/>
      <c r="K240" s="292"/>
      <c r="L240" s="4"/>
      <c r="M240" s="4"/>
      <c r="N240" s="293"/>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row>
    <row r="241" spans="1:48">
      <c r="A241" s="288"/>
      <c r="B241" s="289"/>
      <c r="C241" s="288"/>
      <c r="D241" s="4"/>
      <c r="E241" s="4"/>
      <c r="G241" s="290"/>
      <c r="H241" s="4"/>
      <c r="I241" s="291"/>
      <c r="J241" s="284"/>
      <c r="K241" s="292"/>
      <c r="L241" s="4"/>
      <c r="M241" s="4"/>
      <c r="N241" s="293"/>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row>
    <row r="242" spans="1:48">
      <c r="A242" s="288"/>
      <c r="B242" s="289"/>
      <c r="C242" s="288"/>
      <c r="D242" s="4"/>
      <c r="E242" s="4"/>
      <c r="G242" s="290"/>
      <c r="H242" s="4"/>
      <c r="I242" s="291"/>
      <c r="J242" s="284"/>
      <c r="K242" s="292"/>
      <c r="L242" s="4"/>
      <c r="M242" s="4"/>
      <c r="N242" s="293"/>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row>
    <row r="243" spans="1:48">
      <c r="A243" s="288"/>
      <c r="B243" s="289"/>
      <c r="C243" s="288"/>
      <c r="D243" s="4"/>
      <c r="E243" s="4"/>
      <c r="G243" s="290"/>
      <c r="H243" s="4"/>
      <c r="I243" s="291"/>
      <c r="J243" s="284"/>
      <c r="K243" s="292"/>
      <c r="L243" s="4"/>
      <c r="M243" s="4"/>
      <c r="N243" s="293"/>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row>
    <row r="244" spans="1:48">
      <c r="A244" s="288"/>
      <c r="B244" s="289"/>
      <c r="C244" s="288"/>
      <c r="D244" s="4"/>
      <c r="E244" s="4"/>
      <c r="G244" s="290"/>
      <c r="H244" s="4"/>
      <c r="I244" s="291"/>
      <c r="J244" s="284"/>
      <c r="K244" s="292"/>
      <c r="L244" s="4"/>
      <c r="M244" s="4"/>
      <c r="N244" s="293"/>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row>
    <row r="245" spans="1:48">
      <c r="A245" s="288"/>
      <c r="B245" s="289"/>
      <c r="C245" s="288"/>
      <c r="D245" s="4"/>
      <c r="E245" s="4"/>
      <c r="G245" s="290"/>
      <c r="H245" s="4"/>
      <c r="I245" s="291"/>
      <c r="J245" s="284"/>
      <c r="K245" s="292"/>
      <c r="L245" s="4"/>
      <c r="M245" s="4"/>
      <c r="N245" s="293"/>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row>
    <row r="246" spans="1:48">
      <c r="A246" s="288"/>
      <c r="B246" s="289"/>
      <c r="C246" s="288"/>
      <c r="D246" s="4"/>
      <c r="E246" s="4"/>
      <c r="G246" s="290"/>
      <c r="H246" s="4"/>
      <c r="I246" s="291"/>
      <c r="J246" s="284"/>
      <c r="K246" s="292"/>
      <c r="L246" s="4"/>
      <c r="M246" s="4"/>
      <c r="N246" s="293"/>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row>
    <row r="247" spans="1:48">
      <c r="A247" s="288"/>
      <c r="B247" s="289"/>
      <c r="C247" s="288"/>
      <c r="D247" s="4"/>
      <c r="E247" s="4"/>
      <c r="G247" s="290"/>
      <c r="H247" s="4"/>
      <c r="I247" s="291"/>
      <c r="J247" s="284"/>
      <c r="K247" s="292"/>
      <c r="L247" s="4"/>
      <c r="M247" s="4"/>
      <c r="N247" s="293"/>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row>
    <row r="248" spans="1:48">
      <c r="A248" s="288"/>
      <c r="B248" s="289"/>
      <c r="C248" s="288"/>
      <c r="D248" s="4"/>
      <c r="E248" s="4"/>
      <c r="G248" s="290"/>
      <c r="H248" s="4"/>
      <c r="I248" s="291"/>
      <c r="J248" s="284"/>
      <c r="K248" s="292"/>
      <c r="L248" s="4"/>
      <c r="M248" s="4"/>
      <c r="N248" s="293"/>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row>
    <row r="249" spans="1:48">
      <c r="A249" s="288"/>
      <c r="B249" s="289"/>
      <c r="C249" s="288"/>
      <c r="D249" s="4"/>
      <c r="E249" s="4"/>
      <c r="G249" s="290"/>
      <c r="H249" s="4"/>
      <c r="I249" s="291"/>
      <c r="J249" s="284"/>
      <c r="K249" s="292"/>
      <c r="L249" s="4"/>
      <c r="M249" s="4"/>
      <c r="N249" s="293"/>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row>
    <row r="250" spans="1:48">
      <c r="A250" s="288"/>
      <c r="B250" s="289"/>
      <c r="C250" s="288"/>
      <c r="D250" s="4"/>
      <c r="E250" s="4"/>
      <c r="G250" s="290"/>
      <c r="H250" s="4"/>
      <c r="I250" s="291"/>
      <c r="J250" s="284"/>
      <c r="K250" s="292"/>
      <c r="L250" s="4"/>
      <c r="M250" s="4"/>
      <c r="N250" s="293"/>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row>
    <row r="251" spans="1:48">
      <c r="A251" s="288"/>
      <c r="B251" s="289"/>
      <c r="C251" s="288"/>
      <c r="D251" s="4"/>
      <c r="E251" s="4"/>
      <c r="G251" s="290"/>
      <c r="H251" s="4"/>
      <c r="I251" s="291"/>
      <c r="J251" s="284"/>
      <c r="K251" s="292"/>
      <c r="L251" s="4"/>
      <c r="M251" s="4"/>
      <c r="N251" s="293"/>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row>
    <row r="252" spans="1:48">
      <c r="A252" s="288"/>
      <c r="B252" s="289"/>
      <c r="C252" s="288"/>
      <c r="D252" s="4"/>
      <c r="E252" s="4"/>
      <c r="G252" s="290"/>
      <c r="H252" s="4"/>
      <c r="I252" s="291"/>
      <c r="J252" s="284"/>
      <c r="K252" s="292"/>
      <c r="L252" s="4"/>
      <c r="M252" s="4"/>
      <c r="N252" s="293"/>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row>
    <row r="253" spans="1:48">
      <c r="A253" s="288"/>
      <c r="B253" s="289"/>
      <c r="C253" s="288"/>
      <c r="D253" s="4"/>
      <c r="E253" s="4"/>
      <c r="G253" s="290"/>
      <c r="H253" s="4"/>
      <c r="I253" s="291"/>
      <c r="J253" s="284"/>
      <c r="K253" s="292"/>
      <c r="L253" s="4"/>
      <c r="M253" s="4"/>
      <c r="N253" s="293"/>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row>
    <row r="254" spans="1:48">
      <c r="A254" s="288"/>
      <c r="B254" s="289"/>
      <c r="C254" s="288"/>
      <c r="D254" s="4"/>
      <c r="E254" s="4"/>
      <c r="G254" s="290"/>
      <c r="H254" s="4"/>
      <c r="I254" s="291"/>
      <c r="J254" s="284"/>
      <c r="K254" s="292"/>
      <c r="L254" s="4"/>
      <c r="M254" s="4"/>
      <c r="N254" s="293"/>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row>
    <row r="255" spans="1:48">
      <c r="A255" s="288"/>
      <c r="B255" s="289"/>
      <c r="C255" s="288"/>
      <c r="D255" s="4"/>
      <c r="E255" s="4"/>
      <c r="G255" s="290"/>
      <c r="H255" s="4"/>
      <c r="I255" s="291"/>
      <c r="J255" s="284"/>
      <c r="K255" s="292"/>
      <c r="L255" s="4"/>
      <c r="M255" s="4"/>
      <c r="N255" s="293"/>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row>
    <row r="256" spans="1:48">
      <c r="A256" s="288"/>
      <c r="B256" s="289"/>
      <c r="C256" s="288"/>
      <c r="D256" s="4"/>
      <c r="E256" s="4"/>
      <c r="G256" s="290"/>
      <c r="H256" s="4"/>
      <c r="I256" s="291"/>
      <c r="J256" s="284"/>
      <c r="K256" s="292"/>
      <c r="L256" s="4"/>
      <c r="M256" s="4"/>
      <c r="N256" s="293"/>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row>
    <row r="257" spans="1:48">
      <c r="A257" s="288"/>
      <c r="B257" s="289"/>
      <c r="C257" s="288"/>
      <c r="D257" s="4"/>
      <c r="E257" s="4"/>
      <c r="G257" s="290"/>
      <c r="H257" s="4"/>
      <c r="I257" s="291"/>
      <c r="J257" s="284"/>
      <c r="K257" s="292"/>
      <c r="L257" s="4"/>
      <c r="M257" s="4"/>
      <c r="N257" s="293"/>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row>
    <row r="258" spans="1:48">
      <c r="A258" s="288"/>
      <c r="B258" s="289"/>
      <c r="C258" s="288"/>
      <c r="D258" s="4"/>
      <c r="E258" s="4"/>
      <c r="G258" s="290"/>
      <c r="H258" s="4"/>
      <c r="I258" s="291"/>
      <c r="J258" s="284"/>
      <c r="K258" s="292"/>
      <c r="L258" s="4"/>
      <c r="M258" s="4"/>
      <c r="N258" s="293"/>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row>
    <row r="259" spans="1:48">
      <c r="A259" s="288"/>
      <c r="B259" s="289"/>
      <c r="C259" s="288"/>
      <c r="D259" s="4"/>
      <c r="E259" s="4"/>
      <c r="G259" s="290"/>
      <c r="H259" s="4"/>
      <c r="I259" s="291"/>
      <c r="J259" s="284"/>
      <c r="K259" s="292"/>
      <c r="L259" s="4"/>
      <c r="M259" s="4"/>
      <c r="N259" s="293"/>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row>
    <row r="260" spans="1:48">
      <c r="A260" s="288"/>
      <c r="B260" s="289"/>
      <c r="C260" s="288"/>
      <c r="D260" s="4"/>
      <c r="E260" s="4"/>
      <c r="G260" s="290"/>
      <c r="H260" s="4"/>
      <c r="I260" s="291"/>
      <c r="J260" s="284"/>
      <c r="K260" s="292"/>
      <c r="L260" s="4"/>
      <c r="M260" s="4"/>
      <c r="N260" s="293"/>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row>
    <row r="261" spans="1:48">
      <c r="A261" s="288"/>
      <c r="B261" s="289"/>
      <c r="C261" s="288"/>
      <c r="D261" s="4"/>
      <c r="E261" s="4"/>
      <c r="G261" s="290"/>
      <c r="H261" s="4"/>
      <c r="I261" s="291"/>
      <c r="J261" s="284"/>
      <c r="K261" s="292"/>
      <c r="L261" s="4"/>
      <c r="M261" s="4"/>
      <c r="N261" s="293"/>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row>
    <row r="262" spans="1:48">
      <c r="A262" s="288"/>
      <c r="B262" s="289"/>
      <c r="C262" s="288"/>
      <c r="D262" s="4"/>
      <c r="E262" s="4"/>
      <c r="G262" s="290"/>
      <c r="H262" s="4"/>
      <c r="I262" s="291"/>
      <c r="J262" s="284"/>
      <c r="K262" s="292"/>
      <c r="L262" s="4"/>
      <c r="M262" s="4"/>
      <c r="N262" s="293"/>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row>
    <row r="263" spans="1:48">
      <c r="A263" s="288"/>
      <c r="B263" s="289"/>
      <c r="C263" s="288"/>
      <c r="D263" s="4"/>
      <c r="E263" s="4"/>
      <c r="G263" s="290"/>
      <c r="H263" s="4"/>
      <c r="I263" s="291"/>
      <c r="J263" s="284"/>
      <c r="K263" s="292"/>
      <c r="L263" s="4"/>
      <c r="M263" s="4"/>
      <c r="N263" s="293"/>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row>
    <row r="264" spans="1:48">
      <c r="A264" s="288"/>
      <c r="B264" s="289"/>
      <c r="C264" s="288"/>
      <c r="D264" s="4"/>
      <c r="E264" s="4"/>
      <c r="G264" s="290"/>
      <c r="H264" s="4"/>
      <c r="I264" s="291"/>
      <c r="J264" s="284"/>
      <c r="K264" s="292"/>
      <c r="L264" s="4"/>
      <c r="M264" s="4"/>
      <c r="N264" s="293"/>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row>
    <row r="265" spans="1:48">
      <c r="A265" s="288"/>
      <c r="B265" s="289"/>
      <c r="C265" s="288"/>
      <c r="D265" s="4"/>
      <c r="E265" s="4"/>
      <c r="G265" s="290"/>
      <c r="H265" s="4"/>
      <c r="I265" s="291"/>
      <c r="J265" s="284"/>
      <c r="K265" s="292"/>
      <c r="L265" s="4"/>
      <c r="M265" s="4"/>
      <c r="N265" s="293"/>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row>
    <row r="266" spans="1:48">
      <c r="A266" s="288"/>
      <c r="B266" s="289"/>
      <c r="C266" s="288"/>
      <c r="D266" s="4"/>
      <c r="E266" s="4"/>
      <c r="G266" s="290"/>
      <c r="H266" s="4"/>
      <c r="I266" s="291"/>
      <c r="J266" s="284"/>
      <c r="K266" s="292"/>
      <c r="L266" s="4"/>
      <c r="M266" s="4"/>
      <c r="N266" s="293"/>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row>
    <row r="267" spans="1:48">
      <c r="A267" s="288"/>
      <c r="B267" s="289"/>
      <c r="C267" s="288"/>
      <c r="D267" s="4"/>
      <c r="E267" s="4"/>
      <c r="G267" s="290"/>
      <c r="H267" s="4"/>
      <c r="I267" s="291"/>
      <c r="J267" s="284"/>
      <c r="K267" s="292"/>
      <c r="L267" s="4"/>
      <c r="M267" s="4"/>
      <c r="N267" s="293"/>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row>
    <row r="268" spans="1:48">
      <c r="A268" s="288"/>
      <c r="B268" s="289"/>
      <c r="C268" s="288"/>
      <c r="D268" s="4"/>
      <c r="E268" s="4"/>
      <c r="G268" s="290"/>
      <c r="H268" s="4"/>
      <c r="I268" s="291"/>
      <c r="J268" s="284"/>
      <c r="K268" s="292"/>
      <c r="L268" s="4"/>
      <c r="M268" s="4"/>
      <c r="N268" s="293"/>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row>
    <row r="269" spans="1:48">
      <c r="A269" s="288"/>
      <c r="B269" s="289"/>
      <c r="C269" s="288"/>
      <c r="D269" s="4"/>
      <c r="E269" s="4"/>
      <c r="G269" s="290"/>
      <c r="H269" s="4"/>
      <c r="I269" s="291"/>
      <c r="J269" s="284"/>
      <c r="K269" s="292"/>
      <c r="L269" s="4"/>
      <c r="M269" s="4"/>
      <c r="N269" s="293"/>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row>
    <row r="270" spans="1:48">
      <c r="A270" s="288"/>
      <c r="B270" s="289"/>
      <c r="C270" s="288"/>
      <c r="D270" s="4"/>
      <c r="E270" s="4"/>
      <c r="G270" s="290"/>
      <c r="H270" s="4"/>
      <c r="I270" s="291"/>
      <c r="J270" s="284"/>
      <c r="K270" s="292"/>
      <c r="L270" s="4"/>
      <c r="M270" s="4"/>
      <c r="N270" s="293"/>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row>
    <row r="271" spans="1:48">
      <c r="A271" s="288"/>
      <c r="B271" s="289"/>
      <c r="C271" s="288"/>
      <c r="D271" s="4"/>
      <c r="E271" s="4"/>
      <c r="G271" s="290"/>
      <c r="H271" s="4"/>
      <c r="I271" s="291"/>
      <c r="J271" s="284"/>
      <c r="K271" s="292"/>
      <c r="L271" s="4"/>
      <c r="M271" s="4"/>
      <c r="N271" s="293"/>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row>
    <row r="272" spans="1:48">
      <c r="A272" s="288"/>
      <c r="B272" s="289"/>
      <c r="C272" s="288"/>
      <c r="D272" s="4"/>
      <c r="E272" s="4"/>
      <c r="G272" s="290"/>
      <c r="H272" s="4"/>
      <c r="I272" s="291"/>
      <c r="J272" s="284"/>
      <c r="K272" s="292"/>
      <c r="L272" s="4"/>
      <c r="M272" s="4"/>
      <c r="N272" s="293"/>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row>
    <row r="273" spans="1:48">
      <c r="A273" s="288"/>
      <c r="B273" s="289"/>
      <c r="C273" s="288"/>
      <c r="D273" s="4"/>
      <c r="E273" s="4"/>
      <c r="G273" s="290"/>
      <c r="H273" s="4"/>
      <c r="I273" s="291"/>
      <c r="J273" s="284"/>
      <c r="K273" s="292"/>
      <c r="L273" s="4"/>
      <c r="M273" s="4"/>
      <c r="N273" s="293"/>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row>
    <row r="274" spans="1:48">
      <c r="A274" s="288"/>
      <c r="B274" s="289"/>
      <c r="C274" s="288"/>
      <c r="D274" s="4"/>
      <c r="E274" s="4"/>
      <c r="G274" s="290"/>
      <c r="H274" s="4"/>
      <c r="I274" s="291"/>
      <c r="J274" s="284"/>
      <c r="K274" s="292"/>
      <c r="L274" s="4"/>
      <c r="M274" s="4"/>
      <c r="N274" s="293"/>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row>
    <row r="275" spans="1:48">
      <c r="A275" s="288"/>
      <c r="B275" s="289"/>
      <c r="C275" s="288"/>
      <c r="D275" s="4"/>
      <c r="E275" s="4"/>
      <c r="G275" s="290"/>
      <c r="H275" s="4"/>
      <c r="I275" s="291"/>
      <c r="J275" s="284"/>
      <c r="K275" s="292"/>
      <c r="L275" s="4"/>
      <c r="M275" s="4"/>
      <c r="N275" s="293"/>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row>
    <row r="276" spans="1:48">
      <c r="A276" s="288"/>
      <c r="B276" s="289"/>
      <c r="C276" s="288"/>
      <c r="D276" s="4"/>
      <c r="E276" s="4"/>
      <c r="G276" s="290"/>
      <c r="H276" s="4"/>
      <c r="I276" s="291"/>
      <c r="J276" s="284"/>
      <c r="K276" s="292"/>
      <c r="L276" s="4"/>
      <c r="M276" s="4"/>
      <c r="N276" s="293"/>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row>
    <row r="277" spans="1:48">
      <c r="A277" s="288"/>
      <c r="B277" s="289"/>
      <c r="C277" s="288"/>
      <c r="D277" s="4"/>
      <c r="E277" s="4"/>
      <c r="G277" s="290"/>
      <c r="H277" s="4"/>
      <c r="I277" s="291"/>
      <c r="J277" s="284"/>
      <c r="K277" s="292"/>
      <c r="L277" s="4"/>
      <c r="M277" s="4"/>
      <c r="N277" s="293"/>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row>
    <row r="278" spans="1:48">
      <c r="A278" s="288"/>
      <c r="B278" s="289"/>
      <c r="C278" s="288"/>
      <c r="D278" s="4"/>
      <c r="E278" s="4"/>
      <c r="G278" s="290"/>
      <c r="H278" s="4"/>
      <c r="I278" s="291"/>
      <c r="J278" s="284"/>
      <c r="K278" s="292"/>
      <c r="L278" s="4"/>
      <c r="M278" s="4"/>
      <c r="N278" s="293"/>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row>
    <row r="279" spans="1:48">
      <c r="A279" s="288"/>
      <c r="B279" s="289"/>
      <c r="C279" s="288"/>
      <c r="D279" s="4"/>
      <c r="E279" s="4"/>
      <c r="G279" s="290"/>
      <c r="H279" s="4"/>
      <c r="I279" s="291"/>
      <c r="J279" s="284"/>
      <c r="K279" s="292"/>
      <c r="L279" s="4"/>
      <c r="M279" s="4"/>
      <c r="N279" s="293"/>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row>
    <row r="280" spans="1:48">
      <c r="A280" s="288"/>
      <c r="B280" s="289"/>
      <c r="C280" s="288"/>
      <c r="D280" s="4"/>
      <c r="E280" s="4"/>
      <c r="G280" s="290"/>
      <c r="H280" s="4"/>
      <c r="I280" s="291"/>
      <c r="J280" s="284"/>
      <c r="K280" s="292"/>
      <c r="L280" s="4"/>
      <c r="M280" s="4"/>
      <c r="N280" s="293"/>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row>
    <row r="281" spans="1:48">
      <c r="A281" s="288"/>
      <c r="B281" s="289"/>
      <c r="C281" s="288"/>
      <c r="D281" s="4"/>
      <c r="E281" s="4"/>
      <c r="G281" s="290"/>
      <c r="H281" s="4"/>
      <c r="I281" s="291"/>
      <c r="J281" s="284"/>
      <c r="K281" s="292"/>
      <c r="L281" s="4"/>
      <c r="M281" s="4"/>
      <c r="N281" s="293"/>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row>
    <row r="282" spans="1:48">
      <c r="A282" s="288"/>
      <c r="B282" s="289"/>
      <c r="C282" s="288"/>
      <c r="D282" s="4"/>
      <c r="E282" s="4"/>
      <c r="G282" s="290"/>
      <c r="H282" s="4"/>
      <c r="I282" s="291"/>
      <c r="J282" s="284"/>
      <c r="K282" s="292"/>
      <c r="L282" s="4"/>
      <c r="M282" s="4"/>
      <c r="N282" s="293"/>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row>
    <row r="283" spans="1:48">
      <c r="A283" s="288"/>
      <c r="B283" s="289"/>
      <c r="C283" s="288"/>
      <c r="D283" s="4"/>
      <c r="E283" s="4"/>
      <c r="G283" s="290"/>
      <c r="H283" s="4"/>
      <c r="I283" s="291"/>
      <c r="J283" s="284"/>
      <c r="K283" s="292"/>
      <c r="L283" s="4"/>
      <c r="M283" s="4"/>
      <c r="N283" s="293"/>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row>
    <row r="284" spans="1:48">
      <c r="A284" s="288"/>
      <c r="B284" s="289"/>
      <c r="C284" s="288"/>
      <c r="D284" s="4"/>
      <c r="E284" s="4"/>
      <c r="G284" s="290"/>
      <c r="H284" s="4"/>
      <c r="I284" s="291"/>
      <c r="J284" s="284"/>
      <c r="K284" s="292"/>
      <c r="L284" s="4"/>
      <c r="M284" s="4"/>
      <c r="N284" s="293"/>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row>
    <row r="285" spans="1:48">
      <c r="A285" s="288"/>
      <c r="B285" s="289"/>
      <c r="C285" s="288"/>
      <c r="D285" s="4"/>
      <c r="E285" s="4"/>
      <c r="G285" s="290"/>
      <c r="H285" s="4"/>
      <c r="I285" s="291"/>
      <c r="J285" s="284"/>
      <c r="K285" s="292"/>
      <c r="L285" s="4"/>
      <c r="M285" s="4"/>
      <c r="N285" s="293"/>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row>
    <row r="286" spans="1:48">
      <c r="A286" s="288"/>
      <c r="B286" s="289"/>
      <c r="C286" s="288"/>
      <c r="D286" s="4"/>
      <c r="E286" s="4"/>
      <c r="G286" s="290"/>
      <c r="H286" s="4"/>
      <c r="I286" s="291"/>
      <c r="J286" s="284"/>
      <c r="K286" s="292"/>
      <c r="L286" s="4"/>
      <c r="M286" s="4"/>
      <c r="N286" s="293"/>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row>
    <row r="287" spans="1:48">
      <c r="A287" s="288"/>
      <c r="B287" s="289"/>
      <c r="C287" s="288"/>
      <c r="D287" s="4"/>
      <c r="E287" s="4"/>
      <c r="G287" s="290"/>
      <c r="H287" s="4"/>
      <c r="I287" s="291"/>
      <c r="J287" s="284"/>
      <c r="K287" s="292"/>
      <c r="L287" s="4"/>
      <c r="M287" s="4"/>
      <c r="N287" s="293"/>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row>
    <row r="288" spans="1:48">
      <c r="A288" s="288"/>
      <c r="B288" s="289"/>
      <c r="C288" s="288"/>
      <c r="D288" s="4"/>
      <c r="E288" s="4"/>
      <c r="G288" s="290"/>
      <c r="H288" s="4"/>
      <c r="I288" s="291"/>
      <c r="J288" s="284"/>
      <c r="K288" s="292"/>
      <c r="L288" s="4"/>
      <c r="M288" s="4"/>
      <c r="N288" s="293"/>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row>
    <row r="289" spans="1:48">
      <c r="A289" s="288"/>
      <c r="B289" s="289"/>
      <c r="C289" s="288"/>
      <c r="D289" s="4"/>
      <c r="E289" s="4"/>
      <c r="G289" s="290"/>
      <c r="H289" s="4"/>
      <c r="I289" s="291"/>
      <c r="J289" s="284"/>
      <c r="K289" s="292"/>
      <c r="L289" s="4"/>
      <c r="M289" s="4"/>
      <c r="N289" s="293"/>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row>
    <row r="290" spans="1:48">
      <c r="A290" s="288"/>
      <c r="B290" s="289"/>
      <c r="C290" s="288"/>
      <c r="D290" s="4"/>
      <c r="E290" s="4"/>
      <c r="G290" s="290"/>
      <c r="H290" s="4"/>
      <c r="I290" s="291"/>
      <c r="J290" s="284"/>
      <c r="K290" s="292"/>
      <c r="L290" s="4"/>
      <c r="M290" s="4"/>
      <c r="N290" s="293"/>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row>
    <row r="291" spans="1:48">
      <c r="A291" s="288"/>
      <c r="B291" s="289"/>
      <c r="C291" s="288"/>
      <c r="D291" s="4"/>
      <c r="E291" s="4"/>
      <c r="G291" s="290"/>
      <c r="H291" s="4"/>
      <c r="I291" s="291"/>
      <c r="J291" s="284"/>
      <c r="K291" s="292"/>
      <c r="L291" s="4"/>
      <c r="M291" s="4"/>
      <c r="N291" s="293"/>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row>
    <row r="292" spans="1:48">
      <c r="A292" s="288"/>
      <c r="B292" s="289"/>
      <c r="C292" s="288"/>
      <c r="D292" s="4"/>
      <c r="E292" s="4"/>
      <c r="G292" s="290"/>
      <c r="H292" s="4"/>
      <c r="I292" s="291"/>
      <c r="J292" s="284"/>
      <c r="K292" s="292"/>
      <c r="L292" s="4"/>
      <c r="M292" s="4"/>
      <c r="N292" s="293"/>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row>
    <row r="293" spans="1:48">
      <c r="A293" s="288"/>
      <c r="B293" s="289"/>
      <c r="C293" s="288"/>
      <c r="D293" s="4"/>
      <c r="E293" s="4"/>
      <c r="G293" s="290"/>
      <c r="H293" s="4"/>
      <c r="I293" s="291"/>
      <c r="J293" s="284"/>
      <c r="K293" s="292"/>
      <c r="L293" s="4"/>
      <c r="M293" s="4"/>
      <c r="N293" s="293"/>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row>
    <row r="294" spans="1:48">
      <c r="A294" s="288"/>
      <c r="B294" s="289"/>
      <c r="C294" s="288"/>
      <c r="D294" s="4"/>
      <c r="E294" s="4"/>
      <c r="G294" s="290"/>
      <c r="H294" s="4"/>
      <c r="I294" s="291"/>
      <c r="J294" s="284"/>
      <c r="K294" s="292"/>
      <c r="L294" s="4"/>
      <c r="M294" s="4"/>
      <c r="N294" s="293"/>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row>
    <row r="295" spans="1:48">
      <c r="A295" s="288"/>
      <c r="B295" s="289"/>
      <c r="C295" s="288"/>
      <c r="D295" s="4"/>
      <c r="E295" s="4"/>
      <c r="G295" s="290"/>
      <c r="H295" s="4"/>
      <c r="I295" s="291"/>
      <c r="J295" s="284"/>
      <c r="K295" s="292"/>
      <c r="L295" s="4"/>
      <c r="M295" s="4"/>
      <c r="N295" s="293"/>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row>
    <row r="296" spans="1:48">
      <c r="A296" s="288"/>
      <c r="B296" s="289"/>
      <c r="C296" s="288"/>
      <c r="D296" s="4"/>
      <c r="E296" s="4"/>
      <c r="G296" s="290"/>
      <c r="H296" s="4"/>
      <c r="I296" s="291"/>
      <c r="J296" s="284"/>
      <c r="K296" s="292"/>
      <c r="L296" s="4"/>
      <c r="M296" s="4"/>
      <c r="N296" s="293"/>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row>
    <row r="297" spans="1:48">
      <c r="A297" s="288"/>
      <c r="B297" s="289"/>
      <c r="C297" s="288"/>
      <c r="D297" s="4"/>
      <c r="E297" s="4"/>
      <c r="G297" s="290"/>
      <c r="H297" s="4"/>
      <c r="I297" s="291"/>
      <c r="J297" s="284"/>
      <c r="K297" s="292"/>
      <c r="L297" s="4"/>
      <c r="M297" s="4"/>
      <c r="N297" s="293"/>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row>
    <row r="298" spans="1:48">
      <c r="A298" s="288"/>
      <c r="B298" s="289"/>
      <c r="C298" s="288"/>
      <c r="D298" s="4"/>
      <c r="E298" s="4"/>
      <c r="G298" s="290"/>
      <c r="H298" s="4"/>
      <c r="I298" s="291"/>
      <c r="J298" s="284"/>
      <c r="K298" s="292"/>
      <c r="L298" s="4"/>
      <c r="M298" s="4"/>
      <c r="N298" s="293"/>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row>
    <row r="299" spans="1:48">
      <c r="A299" s="288"/>
      <c r="B299" s="289"/>
      <c r="C299" s="288"/>
      <c r="D299" s="4"/>
      <c r="E299" s="4"/>
      <c r="G299" s="290"/>
      <c r="H299" s="4"/>
      <c r="I299" s="291"/>
      <c r="J299" s="284"/>
      <c r="K299" s="292"/>
      <c r="L299" s="4"/>
      <c r="M299" s="4"/>
      <c r="N299" s="293"/>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row>
    <row r="300" spans="1:48">
      <c r="A300" s="288"/>
      <c r="B300" s="289"/>
      <c r="C300" s="288"/>
      <c r="D300" s="4"/>
      <c r="E300" s="4"/>
      <c r="G300" s="290"/>
      <c r="H300" s="4"/>
      <c r="I300" s="291"/>
      <c r="J300" s="284"/>
      <c r="K300" s="292"/>
      <c r="L300" s="4"/>
      <c r="M300" s="4"/>
      <c r="N300" s="293"/>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row>
    <row r="301" spans="1:48">
      <c r="A301" s="288"/>
      <c r="B301" s="289"/>
      <c r="C301" s="288"/>
      <c r="D301" s="4"/>
      <c r="E301" s="4"/>
      <c r="G301" s="290"/>
      <c r="H301" s="4"/>
      <c r="I301" s="291"/>
      <c r="J301" s="284"/>
      <c r="K301" s="292"/>
      <c r="L301" s="4"/>
      <c r="M301" s="4"/>
      <c r="N301" s="293"/>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row>
    <row r="302" spans="1:48">
      <c r="A302" s="288"/>
      <c r="B302" s="289"/>
      <c r="C302" s="288"/>
      <c r="D302" s="4"/>
      <c r="E302" s="4"/>
      <c r="G302" s="290"/>
      <c r="H302" s="4"/>
      <c r="I302" s="291"/>
      <c r="J302" s="284"/>
      <c r="K302" s="292"/>
      <c r="L302" s="4"/>
      <c r="M302" s="4"/>
      <c r="N302" s="293"/>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row>
    <row r="303" spans="1:48">
      <c r="A303" s="288"/>
      <c r="B303" s="289"/>
      <c r="C303" s="288"/>
      <c r="D303" s="4"/>
      <c r="E303" s="4"/>
      <c r="G303" s="290"/>
      <c r="H303" s="4"/>
      <c r="I303" s="291"/>
      <c r="J303" s="284"/>
      <c r="K303" s="292"/>
      <c r="L303" s="4"/>
      <c r="M303" s="4"/>
      <c r="N303" s="293"/>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row>
    <row r="304" spans="1:48">
      <c r="A304" s="288"/>
      <c r="B304" s="289"/>
      <c r="C304" s="288"/>
      <c r="D304" s="4"/>
      <c r="E304" s="4"/>
      <c r="G304" s="290"/>
      <c r="H304" s="4"/>
      <c r="I304" s="291"/>
      <c r="J304" s="284"/>
      <c r="K304" s="292"/>
      <c r="L304" s="4"/>
      <c r="M304" s="4"/>
      <c r="N304" s="293"/>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row>
    <row r="305" spans="1:48">
      <c r="A305" s="288"/>
      <c r="B305" s="289"/>
      <c r="C305" s="288"/>
      <c r="D305" s="4"/>
      <c r="E305" s="4"/>
      <c r="G305" s="290"/>
      <c r="H305" s="4"/>
      <c r="I305" s="291"/>
      <c r="J305" s="284"/>
      <c r="K305" s="292"/>
      <c r="L305" s="4"/>
      <c r="M305" s="4"/>
      <c r="N305" s="293"/>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row>
    <row r="306" spans="1:48">
      <c r="A306" s="288"/>
      <c r="B306" s="289"/>
      <c r="C306" s="288"/>
      <c r="D306" s="4"/>
      <c r="E306" s="4"/>
      <c r="G306" s="290"/>
      <c r="H306" s="4"/>
      <c r="I306" s="291"/>
      <c r="J306" s="284"/>
      <c r="K306" s="292"/>
      <c r="L306" s="4"/>
      <c r="M306" s="4"/>
      <c r="N306" s="293"/>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row>
    <row r="307" spans="1:48">
      <c r="A307" s="288"/>
      <c r="B307" s="289"/>
      <c r="C307" s="288"/>
      <c r="D307" s="4"/>
      <c r="E307" s="4"/>
      <c r="G307" s="290"/>
      <c r="H307" s="4"/>
      <c r="I307" s="291"/>
      <c r="J307" s="284"/>
      <c r="K307" s="292"/>
      <c r="L307" s="4"/>
      <c r="M307" s="4"/>
      <c r="N307" s="293"/>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row>
    <row r="308" spans="1:48">
      <c r="A308" s="288"/>
      <c r="B308" s="289"/>
      <c r="C308" s="288"/>
      <c r="D308" s="4"/>
      <c r="E308" s="4"/>
      <c r="G308" s="290"/>
      <c r="H308" s="4"/>
      <c r="I308" s="291"/>
      <c r="J308" s="284"/>
      <c r="K308" s="292"/>
      <c r="L308" s="4"/>
      <c r="M308" s="4"/>
      <c r="N308" s="293"/>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row>
    <row r="309" spans="1:48">
      <c r="A309" s="288"/>
      <c r="B309" s="289"/>
      <c r="C309" s="288"/>
      <c r="D309" s="4"/>
      <c r="E309" s="4"/>
      <c r="G309" s="290"/>
      <c r="H309" s="4"/>
      <c r="I309" s="291"/>
      <c r="J309" s="284"/>
      <c r="K309" s="292"/>
      <c r="L309" s="4"/>
      <c r="M309" s="4"/>
      <c r="N309" s="293"/>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row>
    <row r="310" spans="1:48">
      <c r="A310" s="288"/>
      <c r="B310" s="289"/>
      <c r="C310" s="288"/>
      <c r="D310" s="4"/>
      <c r="E310" s="4"/>
      <c r="G310" s="290"/>
      <c r="H310" s="4"/>
      <c r="I310" s="291"/>
      <c r="J310" s="284"/>
      <c r="K310" s="292"/>
      <c r="L310" s="4"/>
      <c r="M310" s="4"/>
      <c r="N310" s="293"/>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row>
    <row r="311" spans="1:48">
      <c r="A311" s="288"/>
      <c r="B311" s="289"/>
      <c r="C311" s="288"/>
      <c r="D311" s="4"/>
      <c r="E311" s="4"/>
      <c r="G311" s="290"/>
      <c r="H311" s="4"/>
      <c r="I311" s="291"/>
      <c r="J311" s="284"/>
      <c r="K311" s="292"/>
      <c r="L311" s="4"/>
      <c r="M311" s="4"/>
      <c r="N311" s="293"/>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row>
    <row r="312" spans="1:48">
      <c r="A312" s="288"/>
      <c r="B312" s="289"/>
      <c r="C312" s="288"/>
      <c r="D312" s="4"/>
      <c r="E312" s="4"/>
      <c r="G312" s="290"/>
      <c r="H312" s="4"/>
      <c r="I312" s="291"/>
      <c r="J312" s="284"/>
      <c r="K312" s="292"/>
      <c r="L312" s="4"/>
      <c r="M312" s="4"/>
      <c r="N312" s="293"/>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row>
    <row r="313" spans="1:48">
      <c r="A313" s="288"/>
      <c r="B313" s="289"/>
      <c r="C313" s="288"/>
      <c r="D313" s="4"/>
      <c r="E313" s="4"/>
      <c r="G313" s="290"/>
      <c r="H313" s="4"/>
      <c r="I313" s="291"/>
      <c r="J313" s="284"/>
      <c r="K313" s="292"/>
      <c r="L313" s="4"/>
      <c r="M313" s="4"/>
      <c r="N313" s="293"/>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row>
    <row r="314" spans="1:48">
      <c r="A314" s="288"/>
      <c r="B314" s="289"/>
      <c r="C314" s="288"/>
      <c r="D314" s="4"/>
      <c r="E314" s="4"/>
      <c r="G314" s="290"/>
      <c r="H314" s="4"/>
      <c r="I314" s="291"/>
      <c r="J314" s="284"/>
      <c r="K314" s="292"/>
      <c r="L314" s="4"/>
      <c r="M314" s="4"/>
      <c r="N314" s="293"/>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row>
    <row r="315" spans="1:48">
      <c r="A315" s="288"/>
      <c r="B315" s="289"/>
      <c r="C315" s="288"/>
      <c r="D315" s="4"/>
      <c r="E315" s="4"/>
      <c r="G315" s="290"/>
      <c r="H315" s="4"/>
      <c r="I315" s="291"/>
      <c r="J315" s="284"/>
      <c r="K315" s="292"/>
      <c r="L315" s="4"/>
      <c r="M315" s="4"/>
      <c r="N315" s="293"/>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row>
    <row r="316" spans="1:48">
      <c r="A316" s="288"/>
      <c r="B316" s="289"/>
      <c r="C316" s="288"/>
      <c r="D316" s="4"/>
      <c r="E316" s="4"/>
      <c r="G316" s="290"/>
      <c r="H316" s="4"/>
      <c r="I316" s="291"/>
      <c r="J316" s="284"/>
      <c r="K316" s="292"/>
      <c r="L316" s="4"/>
      <c r="M316" s="4"/>
      <c r="N316" s="293"/>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row>
    <row r="317" spans="1:48">
      <c r="A317" s="288"/>
      <c r="B317" s="289"/>
      <c r="C317" s="288"/>
      <c r="D317" s="4"/>
      <c r="E317" s="4"/>
      <c r="G317" s="290"/>
      <c r="H317" s="4"/>
      <c r="I317" s="291"/>
      <c r="J317" s="284"/>
      <c r="K317" s="292"/>
      <c r="L317" s="4"/>
      <c r="M317" s="4"/>
      <c r="N317" s="293"/>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row>
    <row r="318" spans="1:48">
      <c r="A318" s="288"/>
      <c r="B318" s="289"/>
      <c r="C318" s="288"/>
      <c r="D318" s="4"/>
      <c r="E318" s="4"/>
      <c r="G318" s="290"/>
      <c r="H318" s="4"/>
      <c r="I318" s="291"/>
      <c r="J318" s="284"/>
      <c r="K318" s="292"/>
      <c r="L318" s="4"/>
      <c r="M318" s="4"/>
      <c r="N318" s="293"/>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row>
    <row r="319" spans="1:48">
      <c r="A319" s="288"/>
      <c r="B319" s="289"/>
      <c r="C319" s="288"/>
      <c r="D319" s="4"/>
      <c r="E319" s="4"/>
      <c r="G319" s="290"/>
      <c r="H319" s="4"/>
      <c r="I319" s="291"/>
      <c r="J319" s="284"/>
      <c r="K319" s="292"/>
      <c r="L319" s="4"/>
      <c r="M319" s="4"/>
      <c r="N319" s="293"/>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row>
    <row r="320" spans="1:48">
      <c r="A320" s="288"/>
      <c r="B320" s="289"/>
      <c r="C320" s="288"/>
      <c r="D320" s="4"/>
      <c r="E320" s="4"/>
      <c r="G320" s="290"/>
      <c r="H320" s="4"/>
      <c r="I320" s="291"/>
      <c r="J320" s="284"/>
      <c r="K320" s="292"/>
      <c r="L320" s="4"/>
      <c r="M320" s="4"/>
      <c r="N320" s="293"/>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row>
    <row r="321" spans="1:48">
      <c r="A321" s="288"/>
      <c r="B321" s="289"/>
      <c r="C321" s="288"/>
      <c r="D321" s="4"/>
      <c r="E321" s="4"/>
      <c r="G321" s="290"/>
      <c r="H321" s="4"/>
      <c r="I321" s="291"/>
      <c r="J321" s="284"/>
      <c r="K321" s="292"/>
      <c r="L321" s="4"/>
      <c r="M321" s="4"/>
      <c r="N321" s="293"/>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row>
    <row r="322" spans="1:48">
      <c r="A322" s="288"/>
      <c r="B322" s="289"/>
      <c r="C322" s="288"/>
      <c r="D322" s="4"/>
      <c r="E322" s="4"/>
      <c r="G322" s="290"/>
      <c r="H322" s="4"/>
      <c r="I322" s="291"/>
      <c r="J322" s="284"/>
      <c r="K322" s="292"/>
      <c r="L322" s="4"/>
      <c r="M322" s="4"/>
      <c r="N322" s="293"/>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row>
    <row r="323" spans="1:48">
      <c r="A323" s="288"/>
      <c r="B323" s="289"/>
      <c r="C323" s="288"/>
      <c r="D323" s="4"/>
      <c r="E323" s="4"/>
      <c r="G323" s="290"/>
      <c r="H323" s="4"/>
      <c r="I323" s="291"/>
      <c r="J323" s="284"/>
      <c r="K323" s="292"/>
      <c r="L323" s="4"/>
      <c r="M323" s="4"/>
      <c r="N323" s="293"/>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row>
    <row r="324" spans="1:48">
      <c r="A324" s="288"/>
      <c r="B324" s="289"/>
      <c r="C324" s="288"/>
      <c r="D324" s="4"/>
      <c r="E324" s="4"/>
      <c r="G324" s="290"/>
      <c r="H324" s="4"/>
      <c r="I324" s="291"/>
      <c r="J324" s="284"/>
      <c r="K324" s="292"/>
      <c r="L324" s="4"/>
      <c r="M324" s="4"/>
      <c r="N324" s="293"/>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row>
    <row r="325" spans="1:48">
      <c r="A325" s="288"/>
      <c r="B325" s="289"/>
      <c r="C325" s="288"/>
      <c r="D325" s="4"/>
      <c r="E325" s="4"/>
      <c r="G325" s="290"/>
      <c r="H325" s="4"/>
      <c r="I325" s="291"/>
      <c r="J325" s="284"/>
      <c r="K325" s="292"/>
      <c r="L325" s="4"/>
      <c r="M325" s="4"/>
      <c r="N325" s="293"/>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row>
    <row r="326" spans="1:48">
      <c r="A326" s="288"/>
      <c r="B326" s="289"/>
      <c r="C326" s="288"/>
      <c r="D326" s="4"/>
      <c r="E326" s="4"/>
      <c r="G326" s="290"/>
      <c r="H326" s="4"/>
      <c r="I326" s="291"/>
      <c r="J326" s="284"/>
      <c r="K326" s="292"/>
      <c r="L326" s="4"/>
      <c r="M326" s="4"/>
      <c r="N326" s="293"/>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row>
    <row r="327" spans="1:48">
      <c r="A327" s="288"/>
      <c r="B327" s="289"/>
      <c r="C327" s="288"/>
      <c r="D327" s="4"/>
      <c r="E327" s="4"/>
      <c r="G327" s="290"/>
      <c r="H327" s="4"/>
      <c r="I327" s="291"/>
      <c r="J327" s="284"/>
      <c r="K327" s="292"/>
      <c r="L327" s="4"/>
      <c r="M327" s="4"/>
      <c r="N327" s="293"/>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row>
    <row r="328" spans="1:48">
      <c r="A328" s="288"/>
      <c r="B328" s="289"/>
      <c r="C328" s="288"/>
      <c r="D328" s="4"/>
      <c r="E328" s="4"/>
      <c r="G328" s="290"/>
      <c r="H328" s="4"/>
      <c r="I328" s="291"/>
      <c r="J328" s="284"/>
      <c r="K328" s="292"/>
      <c r="L328" s="4"/>
      <c r="M328" s="4"/>
      <c r="N328" s="293"/>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row>
    <row r="329" spans="1:48">
      <c r="A329" s="288"/>
      <c r="B329" s="289"/>
      <c r="C329" s="288"/>
      <c r="D329" s="4"/>
      <c r="E329" s="4"/>
      <c r="G329" s="290"/>
      <c r="H329" s="4"/>
      <c r="I329" s="291"/>
      <c r="J329" s="284"/>
      <c r="K329" s="292"/>
      <c r="L329" s="4"/>
      <c r="M329" s="4"/>
      <c r="N329" s="293"/>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row>
    <row r="330" spans="1:48">
      <c r="A330" s="288"/>
      <c r="B330" s="289"/>
      <c r="C330" s="288"/>
      <c r="D330" s="4"/>
      <c r="E330" s="4"/>
      <c r="G330" s="290"/>
      <c r="H330" s="4"/>
      <c r="I330" s="291"/>
      <c r="J330" s="284"/>
      <c r="K330" s="292"/>
      <c r="L330" s="4"/>
      <c r="M330" s="4"/>
      <c r="N330" s="293"/>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row>
    <row r="331" spans="1:48">
      <c r="A331" s="288"/>
      <c r="B331" s="289"/>
      <c r="C331" s="288"/>
      <c r="D331" s="4"/>
      <c r="E331" s="4"/>
      <c r="G331" s="290"/>
      <c r="H331" s="4"/>
      <c r="I331" s="291"/>
      <c r="J331" s="284"/>
      <c r="K331" s="292"/>
      <c r="L331" s="4"/>
      <c r="M331" s="4"/>
      <c r="N331" s="293"/>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row>
    <row r="332" spans="1:48">
      <c r="A332" s="288"/>
      <c r="B332" s="289"/>
      <c r="C332" s="288"/>
      <c r="D332" s="4"/>
      <c r="E332" s="4"/>
      <c r="G332" s="290"/>
      <c r="H332" s="4"/>
      <c r="I332" s="291"/>
      <c r="J332" s="284"/>
      <c r="K332" s="292"/>
      <c r="L332" s="4"/>
      <c r="M332" s="4"/>
      <c r="N332" s="293"/>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row>
    <row r="333" spans="1:48">
      <c r="A333" s="288"/>
      <c r="B333" s="289"/>
      <c r="C333" s="288"/>
      <c r="D333" s="4"/>
      <c r="E333" s="4"/>
      <c r="G333" s="290"/>
      <c r="H333" s="4"/>
      <c r="I333" s="291"/>
      <c r="J333" s="284"/>
      <c r="K333" s="292"/>
      <c r="L333" s="4"/>
      <c r="M333" s="4"/>
      <c r="N333" s="293"/>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row>
    <row r="334" spans="1:48">
      <c r="A334" s="288"/>
      <c r="B334" s="289"/>
      <c r="C334" s="288"/>
      <c r="D334" s="4"/>
      <c r="E334" s="4"/>
      <c r="G334" s="290"/>
      <c r="H334" s="4"/>
      <c r="I334" s="291"/>
      <c r="J334" s="284"/>
      <c r="K334" s="292"/>
      <c r="L334" s="4"/>
      <c r="M334" s="4"/>
      <c r="N334" s="293"/>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row>
    <row r="335" spans="1:48">
      <c r="A335" s="288"/>
      <c r="B335" s="289"/>
      <c r="C335" s="288"/>
      <c r="D335" s="4"/>
      <c r="E335" s="4"/>
      <c r="G335" s="290"/>
      <c r="H335" s="4"/>
      <c r="I335" s="291"/>
      <c r="J335" s="284"/>
      <c r="K335" s="292"/>
      <c r="L335" s="4"/>
      <c r="M335" s="4"/>
      <c r="N335" s="293"/>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row>
    <row r="336" spans="1:48">
      <c r="A336" s="288"/>
      <c r="B336" s="289"/>
      <c r="C336" s="288"/>
      <c r="D336" s="4"/>
      <c r="E336" s="4"/>
      <c r="G336" s="290"/>
      <c r="H336" s="4"/>
      <c r="I336" s="291"/>
      <c r="J336" s="284"/>
      <c r="K336" s="292"/>
      <c r="L336" s="4"/>
      <c r="M336" s="4"/>
      <c r="N336" s="293"/>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row>
    <row r="337" spans="1:48">
      <c r="A337" s="288"/>
      <c r="B337" s="289"/>
      <c r="C337" s="288"/>
      <c r="D337" s="4"/>
      <c r="E337" s="4"/>
      <c r="G337" s="290"/>
      <c r="H337" s="4"/>
      <c r="I337" s="291"/>
      <c r="J337" s="284"/>
      <c r="K337" s="292"/>
      <c r="L337" s="4"/>
      <c r="M337" s="4"/>
      <c r="N337" s="293"/>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row>
    <row r="338" spans="1:48">
      <c r="A338" s="288"/>
      <c r="B338" s="289"/>
      <c r="C338" s="288"/>
      <c r="D338" s="4"/>
      <c r="E338" s="4"/>
      <c r="G338" s="290"/>
      <c r="H338" s="4"/>
      <c r="I338" s="291"/>
      <c r="J338" s="284"/>
      <c r="K338" s="292"/>
      <c r="L338" s="4"/>
      <c r="M338" s="4"/>
      <c r="N338" s="293"/>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row>
    <row r="339" spans="1:48">
      <c r="A339" s="288"/>
      <c r="B339" s="289"/>
      <c r="C339" s="288"/>
      <c r="D339" s="4"/>
      <c r="E339" s="4"/>
      <c r="G339" s="290"/>
      <c r="H339" s="4"/>
      <c r="I339" s="291"/>
      <c r="J339" s="284"/>
      <c r="K339" s="292"/>
      <c r="L339" s="4"/>
      <c r="M339" s="4"/>
      <c r="N339" s="293"/>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row>
    <row r="340" spans="1:48">
      <c r="A340" s="288"/>
      <c r="B340" s="289"/>
      <c r="C340" s="288"/>
      <c r="D340" s="4"/>
      <c r="E340" s="4"/>
      <c r="G340" s="290"/>
      <c r="H340" s="4"/>
      <c r="I340" s="291"/>
      <c r="J340" s="284"/>
      <c r="K340" s="292"/>
      <c r="L340" s="4"/>
      <c r="M340" s="4"/>
      <c r="N340" s="293"/>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row>
    <row r="341" spans="1:48">
      <c r="A341" s="288"/>
      <c r="B341" s="289"/>
      <c r="C341" s="288"/>
      <c r="D341" s="4"/>
      <c r="E341" s="4"/>
      <c r="G341" s="290"/>
      <c r="H341" s="4"/>
      <c r="I341" s="291"/>
      <c r="J341" s="284"/>
      <c r="K341" s="292"/>
      <c r="L341" s="4"/>
      <c r="M341" s="4"/>
      <c r="N341" s="293"/>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row>
    <row r="342" spans="1:48">
      <c r="A342" s="288"/>
      <c r="B342" s="289"/>
      <c r="C342" s="288"/>
      <c r="D342" s="4"/>
      <c r="E342" s="4"/>
      <c r="G342" s="290"/>
      <c r="H342" s="4"/>
      <c r="I342" s="291"/>
      <c r="J342" s="284"/>
      <c r="K342" s="292"/>
      <c r="L342" s="4"/>
      <c r="M342" s="4"/>
      <c r="N342" s="293"/>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row>
    <row r="343" spans="1:48">
      <c r="A343" s="288"/>
      <c r="B343" s="289"/>
      <c r="C343" s="288"/>
      <c r="D343" s="4"/>
      <c r="E343" s="4"/>
      <c r="G343" s="290"/>
      <c r="H343" s="4"/>
      <c r="I343" s="291"/>
      <c r="J343" s="284"/>
      <c r="K343" s="292"/>
      <c r="L343" s="4"/>
      <c r="M343" s="4"/>
      <c r="N343" s="293"/>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row>
    <row r="344" spans="1:48">
      <c r="A344" s="288"/>
      <c r="B344" s="289"/>
      <c r="C344" s="288"/>
      <c r="D344" s="4"/>
      <c r="E344" s="4"/>
      <c r="G344" s="290"/>
      <c r="H344" s="4"/>
      <c r="I344" s="291"/>
      <c r="J344" s="284"/>
      <c r="K344" s="292"/>
      <c r="L344" s="4"/>
      <c r="M344" s="4"/>
      <c r="N344" s="293"/>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row>
    <row r="345" spans="1:48">
      <c r="A345" s="288"/>
      <c r="B345" s="289"/>
      <c r="C345" s="288"/>
      <c r="D345" s="4"/>
      <c r="E345" s="4"/>
      <c r="G345" s="290"/>
      <c r="H345" s="4"/>
      <c r="I345" s="291"/>
      <c r="J345" s="284"/>
      <c r="K345" s="292"/>
      <c r="L345" s="4"/>
      <c r="M345" s="4"/>
      <c r="N345" s="293"/>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row>
    <row r="346" spans="1:48">
      <c r="A346" s="288"/>
      <c r="B346" s="289"/>
      <c r="C346" s="288"/>
      <c r="D346" s="4"/>
      <c r="E346" s="4"/>
      <c r="G346" s="290"/>
      <c r="H346" s="4"/>
      <c r="I346" s="291"/>
      <c r="J346" s="284"/>
      <c r="K346" s="292"/>
      <c r="L346" s="4"/>
      <c r="M346" s="4"/>
      <c r="N346" s="293"/>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row>
    <row r="347" spans="1:48">
      <c r="A347" s="288"/>
      <c r="B347" s="289"/>
      <c r="C347" s="288"/>
      <c r="D347" s="4"/>
      <c r="E347" s="4"/>
      <c r="G347" s="290"/>
      <c r="H347" s="4"/>
      <c r="I347" s="291"/>
      <c r="J347" s="284"/>
      <c r="K347" s="292"/>
      <c r="L347" s="4"/>
      <c r="M347" s="4"/>
      <c r="N347" s="293"/>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row>
    <row r="348" spans="1:48">
      <c r="A348" s="288"/>
      <c r="B348" s="289"/>
      <c r="C348" s="288"/>
      <c r="D348" s="4"/>
      <c r="E348" s="4"/>
      <c r="G348" s="290"/>
      <c r="H348" s="4"/>
      <c r="I348" s="291"/>
      <c r="J348" s="284"/>
      <c r="K348" s="292"/>
      <c r="L348" s="4"/>
      <c r="M348" s="4"/>
      <c r="N348" s="293"/>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row>
    <row r="349" spans="1:48">
      <c r="A349" s="288"/>
      <c r="B349" s="289"/>
      <c r="C349" s="288"/>
      <c r="D349" s="4"/>
      <c r="E349" s="4"/>
      <c r="G349" s="290"/>
      <c r="H349" s="4"/>
      <c r="I349" s="291"/>
      <c r="J349" s="284"/>
      <c r="K349" s="292"/>
      <c r="L349" s="4"/>
      <c r="M349" s="4"/>
      <c r="N349" s="293"/>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row>
    <row r="350" spans="1:48">
      <c r="A350" s="288"/>
      <c r="B350" s="289"/>
      <c r="C350" s="288"/>
      <c r="D350" s="4"/>
      <c r="E350" s="4"/>
      <c r="G350" s="290"/>
      <c r="H350" s="4"/>
      <c r="I350" s="291"/>
      <c r="J350" s="284"/>
      <c r="K350" s="292"/>
      <c r="L350" s="4"/>
      <c r="M350" s="4"/>
      <c r="N350" s="293"/>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row>
    <row r="351" spans="1:48">
      <c r="A351" s="288"/>
      <c r="B351" s="289"/>
      <c r="C351" s="288"/>
      <c r="D351" s="4"/>
      <c r="E351" s="4"/>
      <c r="G351" s="290"/>
      <c r="H351" s="4"/>
      <c r="I351" s="291"/>
      <c r="J351" s="284"/>
      <c r="K351" s="292"/>
      <c r="L351" s="4"/>
      <c r="M351" s="4"/>
      <c r="N351" s="293"/>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row>
    <row r="352" spans="1:48">
      <c r="A352" s="288"/>
      <c r="B352" s="289"/>
      <c r="C352" s="288"/>
      <c r="D352" s="4"/>
      <c r="E352" s="4"/>
      <c r="G352" s="290"/>
      <c r="H352" s="4"/>
      <c r="I352" s="291"/>
      <c r="J352" s="284"/>
      <c r="K352" s="292"/>
      <c r="L352" s="4"/>
      <c r="M352" s="4"/>
      <c r="N352" s="293"/>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row>
    <row r="353" spans="1:48">
      <c r="A353" s="288"/>
      <c r="B353" s="289"/>
      <c r="C353" s="288"/>
      <c r="D353" s="4"/>
      <c r="E353" s="4"/>
      <c r="G353" s="290"/>
      <c r="H353" s="4"/>
      <c r="I353" s="291"/>
      <c r="J353" s="284"/>
      <c r="K353" s="292"/>
      <c r="L353" s="4"/>
      <c r="M353" s="4"/>
      <c r="N353" s="293"/>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row>
    <row r="354" spans="1:48">
      <c r="A354" s="288"/>
      <c r="B354" s="289"/>
      <c r="C354" s="288"/>
      <c r="D354" s="4"/>
      <c r="E354" s="4"/>
      <c r="G354" s="290"/>
      <c r="H354" s="4"/>
      <c r="I354" s="291"/>
      <c r="J354" s="284"/>
      <c r="K354" s="292"/>
      <c r="L354" s="4"/>
      <c r="M354" s="4"/>
      <c r="N354" s="293"/>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row>
    <row r="355" spans="1:48">
      <c r="A355" s="288"/>
      <c r="B355" s="289"/>
      <c r="C355" s="288"/>
      <c r="D355" s="4"/>
      <c r="E355" s="4"/>
      <c r="G355" s="290"/>
      <c r="H355" s="4"/>
      <c r="I355" s="291"/>
      <c r="J355" s="284"/>
      <c r="K355" s="292"/>
      <c r="L355" s="4"/>
      <c r="M355" s="4"/>
      <c r="N355" s="293"/>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row>
    <row r="356" spans="1:48">
      <c r="A356" s="288"/>
      <c r="B356" s="289"/>
      <c r="C356" s="288"/>
      <c r="D356" s="4"/>
      <c r="E356" s="4"/>
      <c r="G356" s="290"/>
      <c r="H356" s="4"/>
      <c r="I356" s="291"/>
      <c r="J356" s="284"/>
      <c r="K356" s="292"/>
      <c r="L356" s="4"/>
      <c r="M356" s="4"/>
      <c r="N356" s="293"/>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row>
    <row r="357" spans="1:48">
      <c r="A357" s="288"/>
      <c r="B357" s="289"/>
      <c r="C357" s="288"/>
      <c r="D357" s="4"/>
      <c r="E357" s="4"/>
      <c r="G357" s="290"/>
      <c r="H357" s="4"/>
      <c r="I357" s="291"/>
      <c r="J357" s="284"/>
      <c r="K357" s="292"/>
      <c r="L357" s="4"/>
      <c r="M357" s="4"/>
      <c r="N357" s="293"/>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row>
    <row r="358" spans="1:48">
      <c r="A358" s="288"/>
      <c r="B358" s="289"/>
      <c r="C358" s="288"/>
      <c r="D358" s="4"/>
      <c r="E358" s="4"/>
      <c r="G358" s="290"/>
      <c r="H358" s="4"/>
      <c r="I358" s="291"/>
      <c r="J358" s="284"/>
      <c r="K358" s="292"/>
      <c r="L358" s="4"/>
      <c r="M358" s="4"/>
      <c r="N358" s="293"/>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row>
    <row r="359" spans="1:48">
      <c r="A359" s="288"/>
      <c r="B359" s="289"/>
      <c r="C359" s="288"/>
      <c r="D359" s="4"/>
      <c r="E359" s="4"/>
      <c r="G359" s="290"/>
      <c r="H359" s="4"/>
      <c r="I359" s="291"/>
      <c r="J359" s="284"/>
      <c r="K359" s="292"/>
      <c r="L359" s="4"/>
      <c r="M359" s="4"/>
      <c r="N359" s="293"/>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row>
    <row r="360" spans="1:48">
      <c r="A360" s="288"/>
      <c r="B360" s="289"/>
      <c r="C360" s="288"/>
      <c r="D360" s="4"/>
      <c r="E360" s="4"/>
      <c r="G360" s="290"/>
      <c r="H360" s="4"/>
      <c r="I360" s="291"/>
      <c r="J360" s="284"/>
      <c r="K360" s="292"/>
      <c r="L360" s="4"/>
      <c r="M360" s="4"/>
      <c r="N360" s="293"/>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row>
    <row r="361" spans="1:48">
      <c r="A361" s="288"/>
      <c r="B361" s="289"/>
      <c r="C361" s="288"/>
      <c r="D361" s="4"/>
      <c r="E361" s="4"/>
      <c r="G361" s="290"/>
      <c r="H361" s="4"/>
      <c r="I361" s="291"/>
      <c r="J361" s="284"/>
      <c r="K361" s="292"/>
      <c r="L361" s="4"/>
      <c r="M361" s="4"/>
      <c r="N361" s="293"/>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row>
    <row r="362" spans="1:48">
      <c r="A362" s="288"/>
      <c r="B362" s="289"/>
      <c r="C362" s="288"/>
      <c r="D362" s="4"/>
      <c r="E362" s="4"/>
      <c r="G362" s="290"/>
      <c r="H362" s="4"/>
      <c r="I362" s="291"/>
      <c r="J362" s="284"/>
      <c r="K362" s="292"/>
      <c r="L362" s="4"/>
      <c r="M362" s="4"/>
      <c r="N362" s="293"/>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row>
    <row r="363" spans="1:48">
      <c r="A363" s="288"/>
      <c r="B363" s="289"/>
      <c r="C363" s="288"/>
      <c r="D363" s="4"/>
      <c r="E363" s="4"/>
      <c r="G363" s="290"/>
      <c r="H363" s="4"/>
      <c r="I363" s="291"/>
      <c r="J363" s="284"/>
      <c r="K363" s="292"/>
      <c r="L363" s="4"/>
      <c r="M363" s="4"/>
      <c r="N363" s="293"/>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row>
    <row r="364" spans="1:48">
      <c r="A364" s="288"/>
      <c r="B364" s="289"/>
      <c r="C364" s="288"/>
      <c r="D364" s="4"/>
      <c r="E364" s="4"/>
      <c r="G364" s="290"/>
      <c r="H364" s="4"/>
      <c r="I364" s="291"/>
      <c r="J364" s="284"/>
      <c r="K364" s="292"/>
      <c r="L364" s="4"/>
      <c r="M364" s="4"/>
      <c r="N364" s="293"/>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row>
    <row r="365" spans="1:48">
      <c r="A365" s="288"/>
      <c r="B365" s="289"/>
      <c r="C365" s="288"/>
      <c r="D365" s="4"/>
      <c r="E365" s="4"/>
      <c r="G365" s="290"/>
      <c r="H365" s="4"/>
      <c r="I365" s="291"/>
      <c r="J365" s="284"/>
      <c r="K365" s="292"/>
      <c r="L365" s="4"/>
      <c r="M365" s="4"/>
      <c r="N365" s="293"/>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row>
    <row r="366" spans="1:48">
      <c r="A366" s="288"/>
      <c r="B366" s="289"/>
      <c r="C366" s="288"/>
      <c r="D366" s="4"/>
      <c r="E366" s="4"/>
      <c r="G366" s="290"/>
      <c r="H366" s="4"/>
      <c r="I366" s="291"/>
      <c r="J366" s="284"/>
      <c r="K366" s="292"/>
      <c r="L366" s="4"/>
      <c r="M366" s="4"/>
      <c r="N366" s="293"/>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row>
    <row r="367" spans="1:48">
      <c r="A367" s="288"/>
      <c r="B367" s="289"/>
      <c r="C367" s="288"/>
      <c r="D367" s="4"/>
      <c r="E367" s="4"/>
      <c r="G367" s="290"/>
      <c r="H367" s="4"/>
      <c r="I367" s="291"/>
      <c r="J367" s="284"/>
      <c r="K367" s="292"/>
      <c r="L367" s="4"/>
      <c r="M367" s="4"/>
      <c r="N367" s="293"/>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row>
    <row r="368" spans="1:48">
      <c r="A368" s="288"/>
      <c r="B368" s="289"/>
      <c r="C368" s="288"/>
      <c r="D368" s="4"/>
      <c r="E368" s="4"/>
      <c r="G368" s="290"/>
      <c r="H368" s="4"/>
      <c r="I368" s="291"/>
      <c r="J368" s="284"/>
      <c r="K368" s="292"/>
      <c r="L368" s="4"/>
      <c r="M368" s="4"/>
      <c r="N368" s="293"/>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row>
    <row r="369" spans="1:48">
      <c r="A369" s="288"/>
      <c r="B369" s="289"/>
      <c r="C369" s="288"/>
      <c r="D369" s="4"/>
      <c r="E369" s="4"/>
      <c r="G369" s="290"/>
      <c r="H369" s="4"/>
      <c r="I369" s="291"/>
      <c r="J369" s="284"/>
      <c r="K369" s="292"/>
      <c r="L369" s="4"/>
      <c r="M369" s="4"/>
      <c r="N369" s="293"/>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row>
    <row r="370" spans="1:48">
      <c r="A370" s="288"/>
      <c r="B370" s="289"/>
      <c r="C370" s="288"/>
      <c r="D370" s="4"/>
      <c r="E370" s="4"/>
      <c r="G370" s="290"/>
      <c r="H370" s="4"/>
      <c r="I370" s="291"/>
      <c r="J370" s="284"/>
      <c r="K370" s="292"/>
      <c r="L370" s="4"/>
      <c r="M370" s="4"/>
      <c r="N370" s="293"/>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row>
    <row r="371" spans="1:48">
      <c r="A371" s="288"/>
      <c r="B371" s="289"/>
      <c r="C371" s="288"/>
      <c r="D371" s="4"/>
      <c r="E371" s="4"/>
      <c r="G371" s="290"/>
      <c r="H371" s="4"/>
      <c r="I371" s="291"/>
      <c r="J371" s="284"/>
      <c r="K371" s="292"/>
      <c r="L371" s="4"/>
      <c r="M371" s="4"/>
      <c r="N371" s="293"/>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row>
    <row r="372" spans="1:48">
      <c r="A372" s="288"/>
      <c r="B372" s="289"/>
      <c r="C372" s="288"/>
      <c r="D372" s="4"/>
      <c r="E372" s="4"/>
      <c r="G372" s="290"/>
      <c r="H372" s="4"/>
      <c r="I372" s="291"/>
      <c r="J372" s="284"/>
      <c r="K372" s="292"/>
      <c r="L372" s="4"/>
      <c r="M372" s="4"/>
      <c r="N372" s="293"/>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row>
    <row r="373" spans="1:48">
      <c r="A373" s="288"/>
      <c r="B373" s="289"/>
      <c r="C373" s="288"/>
      <c r="D373" s="4"/>
      <c r="E373" s="4"/>
      <c r="G373" s="290"/>
      <c r="H373" s="4"/>
      <c r="I373" s="291"/>
      <c r="J373" s="284"/>
      <c r="K373" s="292"/>
      <c r="L373" s="4"/>
      <c r="M373" s="4"/>
      <c r="N373" s="293"/>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row>
    <row r="374" spans="1:48">
      <c r="A374" s="288"/>
      <c r="B374" s="289"/>
      <c r="C374" s="288"/>
      <c r="D374" s="4"/>
      <c r="E374" s="4"/>
      <c r="G374" s="290"/>
      <c r="H374" s="4"/>
      <c r="I374" s="291"/>
      <c r="J374" s="284"/>
      <c r="K374" s="292"/>
      <c r="L374" s="4"/>
      <c r="M374" s="4"/>
      <c r="N374" s="293"/>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row>
    <row r="375" spans="1:48">
      <c r="A375" s="288"/>
      <c r="B375" s="289"/>
      <c r="C375" s="288"/>
      <c r="D375" s="4"/>
      <c r="E375" s="4"/>
      <c r="G375" s="290"/>
      <c r="H375" s="4"/>
      <c r="I375" s="291"/>
      <c r="J375" s="284"/>
      <c r="K375" s="292"/>
      <c r="L375" s="4"/>
      <c r="M375" s="4"/>
      <c r="N375" s="293"/>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row>
    <row r="376" spans="1:48">
      <c r="A376" s="288"/>
      <c r="B376" s="289"/>
      <c r="C376" s="288"/>
      <c r="D376" s="4"/>
      <c r="E376" s="4"/>
      <c r="G376" s="290"/>
      <c r="H376" s="4"/>
      <c r="I376" s="291"/>
      <c r="J376" s="284"/>
      <c r="K376" s="292"/>
      <c r="L376" s="4"/>
      <c r="M376" s="4"/>
      <c r="N376" s="293"/>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row>
    <row r="377" spans="1:48">
      <c r="A377" s="288"/>
      <c r="B377" s="289"/>
      <c r="C377" s="288"/>
      <c r="D377" s="4"/>
      <c r="E377" s="4"/>
      <c r="G377" s="290"/>
      <c r="H377" s="4"/>
      <c r="I377" s="291"/>
      <c r="J377" s="284"/>
      <c r="K377" s="292"/>
      <c r="L377" s="4"/>
      <c r="M377" s="4"/>
      <c r="N377" s="293"/>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row>
    <row r="378" spans="1:48">
      <c r="A378" s="288"/>
      <c r="B378" s="289"/>
      <c r="C378" s="288"/>
      <c r="D378" s="4"/>
      <c r="E378" s="4"/>
      <c r="G378" s="290"/>
      <c r="H378" s="4"/>
      <c r="I378" s="291"/>
      <c r="J378" s="284"/>
      <c r="K378" s="292"/>
      <c r="L378" s="4"/>
      <c r="M378" s="4"/>
      <c r="N378" s="293"/>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row>
    <row r="379" spans="1:48">
      <c r="A379" s="288"/>
      <c r="B379" s="289"/>
      <c r="C379" s="288"/>
      <c r="D379" s="4"/>
      <c r="E379" s="4"/>
      <c r="G379" s="290"/>
      <c r="H379" s="4"/>
      <c r="I379" s="291"/>
      <c r="J379" s="284"/>
      <c r="K379" s="292"/>
      <c r="L379" s="4"/>
      <c r="M379" s="4"/>
      <c r="N379" s="293"/>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row>
    <row r="380" spans="1:48">
      <c r="A380" s="288"/>
      <c r="B380" s="289"/>
      <c r="C380" s="288"/>
      <c r="D380" s="4"/>
      <c r="E380" s="4"/>
      <c r="G380" s="290"/>
      <c r="H380" s="4"/>
      <c r="I380" s="291"/>
      <c r="J380" s="284"/>
      <c r="K380" s="292"/>
      <c r="L380" s="4"/>
      <c r="M380" s="4"/>
      <c r="N380" s="293"/>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row>
    <row r="381" spans="1:48">
      <c r="A381" s="288"/>
      <c r="B381" s="289"/>
      <c r="C381" s="288"/>
      <c r="D381" s="4"/>
      <c r="E381" s="4"/>
      <c r="G381" s="290"/>
      <c r="H381" s="4"/>
      <c r="I381" s="291"/>
      <c r="J381" s="284"/>
      <c r="K381" s="292"/>
      <c r="L381" s="4"/>
      <c r="M381" s="4"/>
      <c r="N381" s="293"/>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row>
    <row r="382" spans="1:48">
      <c r="A382" s="288"/>
      <c r="B382" s="289"/>
      <c r="C382" s="288"/>
      <c r="D382" s="4"/>
      <c r="E382" s="4"/>
      <c r="G382" s="290"/>
      <c r="H382" s="4"/>
      <c r="I382" s="291"/>
      <c r="J382" s="284"/>
      <c r="K382" s="292"/>
      <c r="L382" s="4"/>
      <c r="M382" s="4"/>
      <c r="N382" s="293"/>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row>
    <row r="383" spans="1:48">
      <c r="A383" s="288"/>
      <c r="B383" s="289"/>
      <c r="C383" s="288"/>
      <c r="D383" s="4"/>
      <c r="E383" s="4"/>
      <c r="G383" s="290"/>
      <c r="H383" s="4"/>
      <c r="I383" s="291"/>
      <c r="J383" s="284"/>
      <c r="K383" s="292"/>
      <c r="L383" s="4"/>
      <c r="M383" s="4"/>
      <c r="N383" s="293"/>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row>
    <row r="384" spans="1:48">
      <c r="A384" s="288"/>
      <c r="B384" s="289"/>
      <c r="C384" s="288"/>
      <c r="D384" s="4"/>
      <c r="E384" s="4"/>
      <c r="G384" s="290"/>
      <c r="H384" s="4"/>
      <c r="I384" s="291"/>
      <c r="J384" s="284"/>
      <c r="K384" s="292"/>
      <c r="L384" s="4"/>
      <c r="M384" s="4"/>
      <c r="N384" s="293"/>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row>
    <row r="385" spans="1:48">
      <c r="A385" s="288"/>
      <c r="B385" s="289"/>
      <c r="C385" s="288"/>
      <c r="D385" s="4"/>
      <c r="E385" s="4"/>
      <c r="G385" s="290"/>
      <c r="H385" s="4"/>
      <c r="I385" s="291"/>
      <c r="J385" s="284"/>
      <c r="K385" s="292"/>
      <c r="L385" s="4"/>
      <c r="M385" s="4"/>
      <c r="N385" s="293"/>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row>
    <row r="386" spans="1:48">
      <c r="A386" s="288"/>
      <c r="B386" s="289"/>
      <c r="C386" s="288"/>
      <c r="D386" s="4"/>
      <c r="E386" s="4"/>
      <c r="G386" s="290"/>
      <c r="H386" s="4"/>
      <c r="I386" s="291"/>
      <c r="J386" s="284"/>
      <c r="K386" s="292"/>
      <c r="L386" s="4"/>
      <c r="M386" s="4"/>
      <c r="N386" s="293"/>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row>
    <row r="387" spans="1:48">
      <c r="A387" s="288"/>
      <c r="B387" s="289"/>
      <c r="C387" s="288"/>
      <c r="D387" s="4"/>
      <c r="E387" s="4"/>
      <c r="G387" s="290"/>
      <c r="H387" s="4"/>
      <c r="I387" s="291"/>
      <c r="J387" s="284"/>
      <c r="K387" s="292"/>
      <c r="L387" s="4"/>
      <c r="M387" s="4"/>
      <c r="N387" s="293"/>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row>
    <row r="388" spans="1:48">
      <c r="A388" s="288"/>
      <c r="B388" s="289"/>
      <c r="C388" s="288"/>
      <c r="D388" s="4"/>
      <c r="E388" s="4"/>
      <c r="G388" s="290"/>
      <c r="H388" s="4"/>
      <c r="I388" s="291"/>
      <c r="J388" s="284"/>
      <c r="K388" s="292"/>
      <c r="L388" s="4"/>
      <c r="M388" s="4"/>
      <c r="N388" s="293"/>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row>
    <row r="389" spans="1:48">
      <c r="A389" s="288"/>
      <c r="B389" s="289"/>
      <c r="C389" s="288"/>
      <c r="D389" s="4"/>
      <c r="E389" s="4"/>
      <c r="G389" s="290"/>
      <c r="H389" s="4"/>
      <c r="I389" s="291"/>
      <c r="J389" s="284"/>
      <c r="K389" s="292"/>
      <c r="L389" s="4"/>
      <c r="M389" s="4"/>
      <c r="N389" s="293"/>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row>
    <row r="390" spans="1:48">
      <c r="A390" s="288"/>
      <c r="B390" s="289"/>
      <c r="C390" s="288"/>
      <c r="D390" s="4"/>
      <c r="E390" s="4"/>
      <c r="G390" s="290"/>
      <c r="H390" s="4"/>
      <c r="I390" s="291"/>
      <c r="J390" s="284"/>
      <c r="K390" s="292"/>
      <c r="L390" s="4"/>
      <c r="M390" s="4"/>
      <c r="N390" s="293"/>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row>
    <row r="391" spans="1:48">
      <c r="A391" s="288"/>
      <c r="B391" s="289"/>
      <c r="C391" s="288"/>
      <c r="D391" s="4"/>
      <c r="E391" s="4"/>
      <c r="G391" s="290"/>
      <c r="H391" s="4"/>
      <c r="I391" s="291"/>
      <c r="J391" s="284"/>
      <c r="K391" s="292"/>
      <c r="L391" s="4"/>
      <c r="M391" s="4"/>
      <c r="N391" s="293"/>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row>
    <row r="392" spans="1:48">
      <c r="A392" s="288"/>
      <c r="B392" s="289"/>
      <c r="C392" s="288"/>
      <c r="D392" s="4"/>
      <c r="E392" s="4"/>
      <c r="G392" s="290"/>
      <c r="H392" s="4"/>
      <c r="I392" s="291"/>
      <c r="J392" s="284"/>
      <c r="K392" s="292"/>
      <c r="L392" s="4"/>
      <c r="M392" s="4"/>
      <c r="N392" s="293"/>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row>
    <row r="393" spans="1:48">
      <c r="A393" s="288"/>
      <c r="B393" s="289"/>
      <c r="C393" s="288"/>
      <c r="D393" s="4"/>
      <c r="E393" s="4"/>
      <c r="G393" s="290"/>
      <c r="H393" s="4"/>
      <c r="I393" s="291"/>
      <c r="J393" s="284"/>
      <c r="K393" s="292"/>
      <c r="L393" s="4"/>
      <c r="M393" s="4"/>
      <c r="N393" s="293"/>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row>
    <row r="394" spans="1:48">
      <c r="A394" s="288"/>
      <c r="B394" s="289"/>
      <c r="C394" s="288"/>
      <c r="D394" s="4"/>
      <c r="E394" s="4"/>
      <c r="G394" s="290"/>
      <c r="H394" s="4"/>
      <c r="I394" s="291"/>
      <c r="J394" s="284"/>
      <c r="K394" s="292"/>
      <c r="L394" s="4"/>
      <c r="M394" s="4"/>
      <c r="N394" s="293"/>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row>
    <row r="395" spans="1:48">
      <c r="A395" s="288"/>
      <c r="B395" s="289"/>
      <c r="C395" s="288"/>
      <c r="D395" s="4"/>
      <c r="E395" s="4"/>
      <c r="G395" s="290"/>
      <c r="H395" s="4"/>
      <c r="I395" s="291"/>
      <c r="J395" s="284"/>
      <c r="K395" s="292"/>
      <c r="L395" s="4"/>
      <c r="M395" s="4"/>
      <c r="N395" s="293"/>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row>
    <row r="396" spans="1:48">
      <c r="A396" s="288"/>
      <c r="B396" s="289"/>
      <c r="C396" s="288"/>
      <c r="D396" s="4"/>
      <c r="E396" s="4"/>
      <c r="G396" s="290"/>
      <c r="H396" s="4"/>
      <c r="I396" s="291"/>
      <c r="J396" s="284"/>
      <c r="K396" s="292"/>
      <c r="L396" s="4"/>
      <c r="M396" s="4"/>
      <c r="N396" s="293"/>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row>
    <row r="397" spans="1:48">
      <c r="A397" s="288"/>
      <c r="B397" s="289"/>
      <c r="C397" s="288"/>
      <c r="D397" s="4"/>
      <c r="E397" s="4"/>
      <c r="G397" s="290"/>
      <c r="H397" s="4"/>
      <c r="I397" s="291"/>
      <c r="J397" s="284"/>
      <c r="K397" s="292"/>
      <c r="L397" s="4"/>
      <c r="M397" s="4"/>
      <c r="N397" s="293"/>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row>
    <row r="398" spans="1:48">
      <c r="A398" s="288"/>
      <c r="B398" s="289"/>
      <c r="C398" s="288"/>
      <c r="D398" s="4"/>
      <c r="E398" s="4"/>
      <c r="G398" s="290"/>
      <c r="H398" s="4"/>
      <c r="I398" s="291"/>
      <c r="J398" s="284"/>
      <c r="K398" s="292"/>
      <c r="L398" s="4"/>
      <c r="M398" s="4"/>
      <c r="N398" s="293"/>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row>
    <row r="399" spans="1:48">
      <c r="A399" s="288"/>
      <c r="B399" s="289"/>
      <c r="C399" s="288"/>
      <c r="D399" s="4"/>
      <c r="E399" s="4"/>
      <c r="G399" s="290"/>
      <c r="H399" s="4"/>
      <c r="I399" s="291"/>
      <c r="J399" s="284"/>
      <c r="K399" s="292"/>
      <c r="L399" s="4"/>
      <c r="M399" s="4"/>
      <c r="N399" s="293"/>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row>
    <row r="400" spans="1:48">
      <c r="A400" s="288"/>
      <c r="B400" s="289"/>
      <c r="C400" s="288"/>
      <c r="D400" s="4"/>
      <c r="E400" s="4"/>
      <c r="G400" s="290"/>
      <c r="H400" s="4"/>
      <c r="I400" s="291"/>
      <c r="J400" s="284"/>
      <c r="K400" s="292"/>
      <c r="L400" s="4"/>
      <c r="M400" s="4"/>
      <c r="N400" s="293"/>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row>
    <row r="401" spans="1:48">
      <c r="A401" s="288"/>
      <c r="B401" s="289"/>
      <c r="C401" s="288"/>
      <c r="D401" s="4"/>
      <c r="E401" s="4"/>
      <c r="G401" s="290"/>
      <c r="H401" s="4"/>
      <c r="I401" s="291"/>
      <c r="J401" s="284"/>
      <c r="K401" s="292"/>
      <c r="L401" s="4"/>
      <c r="M401" s="4"/>
      <c r="N401" s="293"/>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row>
    <row r="402" spans="1:48">
      <c r="A402" s="288"/>
      <c r="B402" s="289"/>
      <c r="C402" s="288"/>
      <c r="D402" s="4"/>
      <c r="E402" s="4"/>
      <c r="G402" s="290"/>
      <c r="H402" s="4"/>
      <c r="I402" s="291"/>
      <c r="J402" s="284"/>
      <c r="K402" s="292"/>
      <c r="L402" s="4"/>
      <c r="M402" s="4"/>
      <c r="N402" s="293"/>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row>
    <row r="403" spans="1:48">
      <c r="A403" s="288"/>
      <c r="B403" s="289"/>
      <c r="C403" s="288"/>
      <c r="D403" s="4"/>
      <c r="E403" s="4"/>
      <c r="G403" s="290"/>
      <c r="H403" s="4"/>
      <c r="I403" s="291"/>
      <c r="J403" s="284"/>
      <c r="K403" s="292"/>
      <c r="L403" s="4"/>
      <c r="M403" s="4"/>
      <c r="N403" s="293"/>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row>
    <row r="404" spans="1:48">
      <c r="A404" s="288"/>
      <c r="B404" s="289"/>
      <c r="C404" s="288"/>
      <c r="D404" s="4"/>
      <c r="E404" s="4"/>
      <c r="G404" s="290"/>
      <c r="H404" s="4"/>
      <c r="I404" s="291"/>
      <c r="J404" s="284"/>
      <c r="K404" s="292"/>
      <c r="L404" s="4"/>
      <c r="M404" s="4"/>
      <c r="N404" s="293"/>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row>
    <row r="405" spans="1:48">
      <c r="A405" s="288"/>
      <c r="B405" s="289"/>
      <c r="C405" s="288"/>
      <c r="D405" s="4"/>
      <c r="E405" s="4"/>
      <c r="G405" s="290"/>
      <c r="H405" s="4"/>
      <c r="I405" s="291"/>
      <c r="J405" s="284"/>
      <c r="K405" s="292"/>
      <c r="L405" s="4"/>
      <c r="M405" s="4"/>
      <c r="N405" s="293"/>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row>
    <row r="406" spans="1:48">
      <c r="A406" s="288"/>
      <c r="B406" s="289"/>
      <c r="C406" s="288"/>
      <c r="D406" s="4"/>
      <c r="E406" s="4"/>
      <c r="G406" s="290"/>
      <c r="H406" s="4"/>
      <c r="I406" s="291"/>
      <c r="J406" s="284"/>
      <c r="K406" s="292"/>
      <c r="L406" s="4"/>
      <c r="M406" s="4"/>
      <c r="N406" s="293"/>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row>
    <row r="407" spans="1:48">
      <c r="A407" s="288"/>
      <c r="B407" s="289"/>
      <c r="C407" s="288"/>
      <c r="D407" s="4"/>
      <c r="E407" s="4"/>
      <c r="G407" s="290"/>
      <c r="H407" s="4"/>
      <c r="I407" s="291"/>
      <c r="J407" s="284"/>
      <c r="K407" s="292"/>
      <c r="L407" s="4"/>
      <c r="M407" s="4"/>
      <c r="N407" s="293"/>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row>
    <row r="408" spans="1:48">
      <c r="A408" s="288"/>
      <c r="B408" s="289"/>
      <c r="C408" s="288"/>
      <c r="D408" s="4"/>
      <c r="E408" s="4"/>
      <c r="G408" s="290"/>
      <c r="H408" s="4"/>
      <c r="I408" s="291"/>
      <c r="J408" s="284"/>
      <c r="K408" s="292"/>
      <c r="L408" s="4"/>
      <c r="M408" s="4"/>
      <c r="N408" s="293"/>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row>
    <row r="409" spans="1:48">
      <c r="A409" s="288"/>
      <c r="B409" s="289"/>
      <c r="C409" s="288"/>
      <c r="D409" s="4"/>
      <c r="E409" s="4"/>
      <c r="G409" s="290"/>
      <c r="H409" s="4"/>
      <c r="I409" s="291"/>
      <c r="J409" s="284"/>
      <c r="K409" s="292"/>
      <c r="L409" s="4"/>
      <c r="M409" s="4"/>
      <c r="N409" s="293"/>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row>
    <row r="410" spans="1:48">
      <c r="A410" s="288"/>
      <c r="B410" s="289"/>
      <c r="C410" s="288"/>
      <c r="D410" s="4"/>
      <c r="E410" s="4"/>
      <c r="G410" s="290"/>
      <c r="H410" s="4"/>
      <c r="I410" s="291"/>
      <c r="J410" s="284"/>
      <c r="K410" s="292"/>
      <c r="L410" s="4"/>
      <c r="M410" s="4"/>
      <c r="N410" s="293"/>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row>
    <row r="411" spans="1:48">
      <c r="A411" s="288"/>
      <c r="B411" s="289"/>
      <c r="C411" s="288"/>
      <c r="D411" s="4"/>
      <c r="E411" s="4"/>
      <c r="G411" s="290"/>
      <c r="H411" s="4"/>
      <c r="I411" s="291"/>
      <c r="J411" s="284"/>
      <c r="K411" s="292"/>
      <c r="L411" s="4"/>
      <c r="M411" s="4"/>
      <c r="N411" s="293"/>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row>
    <row r="412" spans="1:48">
      <c r="A412" s="288"/>
      <c r="B412" s="289"/>
      <c r="C412" s="288"/>
      <c r="D412" s="4"/>
      <c r="E412" s="4"/>
      <c r="G412" s="290"/>
      <c r="H412" s="4"/>
      <c r="I412" s="291"/>
      <c r="J412" s="284"/>
      <c r="K412" s="292"/>
      <c r="L412" s="4"/>
      <c r="M412" s="4"/>
      <c r="N412" s="293"/>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row>
    <row r="413" spans="1:48">
      <c r="A413" s="288"/>
      <c r="B413" s="289"/>
      <c r="C413" s="288"/>
      <c r="D413" s="4"/>
      <c r="E413" s="4"/>
      <c r="G413" s="290"/>
      <c r="H413" s="4"/>
      <c r="I413" s="291"/>
      <c r="J413" s="284"/>
      <c r="K413" s="292"/>
      <c r="L413" s="4"/>
      <c r="M413" s="4"/>
      <c r="N413" s="293"/>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row>
    <row r="414" spans="1:48">
      <c r="A414" s="288"/>
      <c r="B414" s="289"/>
      <c r="C414" s="288"/>
      <c r="D414" s="4"/>
      <c r="E414" s="4"/>
      <c r="G414" s="290"/>
      <c r="H414" s="4"/>
      <c r="I414" s="291"/>
      <c r="J414" s="284"/>
      <c r="K414" s="292"/>
      <c r="L414" s="4"/>
      <c r="M414" s="4"/>
      <c r="N414" s="293"/>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row>
    <row r="415" spans="1:48">
      <c r="A415" s="288"/>
      <c r="B415" s="289"/>
      <c r="C415" s="288"/>
      <c r="D415" s="4"/>
      <c r="E415" s="4"/>
      <c r="G415" s="290"/>
      <c r="H415" s="4"/>
      <c r="I415" s="291"/>
      <c r="J415" s="284"/>
      <c r="K415" s="292"/>
      <c r="L415" s="4"/>
      <c r="M415" s="4"/>
      <c r="N415" s="293"/>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row>
    <row r="416" spans="1:48">
      <c r="A416" s="288"/>
      <c r="B416" s="289"/>
      <c r="C416" s="288"/>
      <c r="D416" s="4"/>
      <c r="E416" s="4"/>
      <c r="G416" s="290"/>
      <c r="H416" s="4"/>
      <c r="I416" s="291"/>
      <c r="J416" s="284"/>
      <c r="K416" s="292"/>
      <c r="L416" s="4"/>
      <c r="M416" s="4"/>
      <c r="N416" s="293"/>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row>
    <row r="417" spans="1:48">
      <c r="A417" s="288"/>
      <c r="B417" s="289"/>
      <c r="C417" s="288"/>
      <c r="D417" s="4"/>
      <c r="E417" s="4"/>
      <c r="G417" s="290"/>
      <c r="H417" s="4"/>
      <c r="I417" s="291"/>
      <c r="J417" s="284"/>
      <c r="K417" s="292"/>
      <c r="L417" s="4"/>
      <c r="M417" s="4"/>
      <c r="N417" s="293"/>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row>
    <row r="418" spans="1:48">
      <c r="A418" s="288"/>
      <c r="B418" s="289"/>
      <c r="C418" s="288"/>
      <c r="D418" s="4"/>
      <c r="E418" s="4"/>
      <c r="G418" s="290"/>
      <c r="H418" s="4"/>
      <c r="I418" s="291"/>
      <c r="J418" s="284"/>
      <c r="K418" s="292"/>
      <c r="L418" s="4"/>
      <c r="M418" s="4"/>
      <c r="N418" s="293"/>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row>
    <row r="419" spans="1:48">
      <c r="A419" s="288"/>
      <c r="B419" s="289"/>
      <c r="C419" s="288"/>
      <c r="D419" s="4"/>
      <c r="E419" s="4"/>
      <c r="G419" s="290"/>
      <c r="H419" s="4"/>
      <c r="I419" s="291"/>
      <c r="J419" s="284"/>
      <c r="K419" s="292"/>
      <c r="L419" s="4"/>
      <c r="M419" s="4"/>
      <c r="N419" s="293"/>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row>
    <row r="420" spans="1:48">
      <c r="A420" s="288"/>
      <c r="B420" s="289"/>
      <c r="C420" s="288"/>
      <c r="D420" s="4"/>
      <c r="E420" s="4"/>
      <c r="G420" s="290"/>
      <c r="H420" s="4"/>
      <c r="I420" s="291"/>
      <c r="J420" s="284"/>
      <c r="K420" s="292"/>
      <c r="L420" s="4"/>
      <c r="M420" s="4"/>
      <c r="N420" s="293"/>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row>
    <row r="421" spans="1:48">
      <c r="A421" s="288"/>
      <c r="B421" s="289"/>
      <c r="C421" s="288"/>
      <c r="D421" s="4"/>
      <c r="E421" s="4"/>
      <c r="G421" s="290"/>
      <c r="H421" s="4"/>
      <c r="I421" s="291"/>
      <c r="J421" s="284"/>
      <c r="K421" s="292"/>
      <c r="L421" s="4"/>
      <c r="M421" s="4"/>
      <c r="N421" s="293"/>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row>
    <row r="422" spans="1:48">
      <c r="A422" s="288"/>
      <c r="B422" s="289"/>
      <c r="C422" s="288"/>
      <c r="D422" s="4"/>
      <c r="E422" s="4"/>
      <c r="G422" s="290"/>
      <c r="H422" s="4"/>
      <c r="I422" s="291"/>
      <c r="J422" s="284"/>
      <c r="K422" s="292"/>
      <c r="L422" s="4"/>
      <c r="M422" s="4"/>
      <c r="N422" s="293"/>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row>
    <row r="423" spans="1:48">
      <c r="A423" s="288"/>
      <c r="B423" s="289"/>
      <c r="C423" s="288"/>
      <c r="D423" s="4"/>
      <c r="E423" s="4"/>
      <c r="G423" s="290"/>
      <c r="H423" s="4"/>
      <c r="I423" s="291"/>
      <c r="J423" s="284"/>
      <c r="K423" s="292"/>
      <c r="L423" s="4"/>
      <c r="M423" s="4"/>
      <c r="N423" s="293"/>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row>
    <row r="424" spans="1:48">
      <c r="A424" s="288"/>
      <c r="B424" s="289"/>
      <c r="C424" s="288"/>
      <c r="D424" s="4"/>
      <c r="E424" s="4"/>
      <c r="G424" s="290"/>
      <c r="H424" s="4"/>
      <c r="I424" s="291"/>
      <c r="J424" s="284"/>
      <c r="K424" s="292"/>
      <c r="L424" s="4"/>
      <c r="M424" s="4"/>
      <c r="N424" s="293"/>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row>
    <row r="425" spans="1:48">
      <c r="A425" s="288"/>
      <c r="B425" s="289"/>
      <c r="C425" s="288"/>
      <c r="D425" s="4"/>
      <c r="E425" s="4"/>
      <c r="G425" s="290"/>
      <c r="H425" s="4"/>
      <c r="I425" s="291"/>
      <c r="J425" s="284"/>
      <c r="K425" s="292"/>
      <c r="L425" s="4"/>
      <c r="M425" s="4"/>
      <c r="N425" s="293"/>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row>
    <row r="426" spans="1:48">
      <c r="A426" s="288"/>
      <c r="B426" s="289"/>
      <c r="C426" s="288"/>
      <c r="D426" s="4"/>
      <c r="E426" s="4"/>
      <c r="G426" s="290"/>
      <c r="H426" s="4"/>
      <c r="I426" s="291"/>
      <c r="J426" s="284"/>
      <c r="K426" s="292"/>
      <c r="L426" s="4"/>
      <c r="M426" s="4"/>
      <c r="N426" s="293"/>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row>
    <row r="427" spans="1:48">
      <c r="A427" s="288"/>
      <c r="B427" s="289"/>
      <c r="C427" s="288"/>
      <c r="D427" s="4"/>
      <c r="E427" s="4"/>
      <c r="G427" s="290"/>
      <c r="H427" s="4"/>
      <c r="I427" s="291"/>
      <c r="J427" s="284"/>
      <c r="K427" s="292"/>
      <c r="L427" s="4"/>
      <c r="M427" s="4"/>
      <c r="N427" s="293"/>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row>
    <row r="428" spans="1:48">
      <c r="A428" s="288"/>
      <c r="B428" s="289"/>
      <c r="C428" s="288"/>
      <c r="D428" s="4"/>
      <c r="E428" s="4"/>
      <c r="G428" s="290"/>
      <c r="H428" s="4"/>
      <c r="I428" s="291"/>
      <c r="J428" s="284"/>
      <c r="K428" s="292"/>
      <c r="L428" s="4"/>
      <c r="M428" s="4"/>
      <c r="N428" s="293"/>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row>
    <row r="429" spans="1:48">
      <c r="A429" s="288"/>
      <c r="B429" s="289"/>
      <c r="C429" s="288"/>
      <c r="D429" s="4"/>
      <c r="E429" s="4"/>
      <c r="G429" s="290"/>
      <c r="H429" s="4"/>
      <c r="I429" s="291"/>
      <c r="J429" s="284"/>
      <c r="K429" s="292"/>
      <c r="L429" s="4"/>
      <c r="M429" s="4"/>
      <c r="N429" s="293"/>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row>
    <row r="430" spans="1:48">
      <c r="A430" s="288"/>
      <c r="B430" s="289"/>
      <c r="C430" s="288"/>
      <c r="D430" s="4"/>
      <c r="E430" s="4"/>
      <c r="G430" s="290"/>
      <c r="H430" s="4"/>
      <c r="I430" s="291"/>
      <c r="J430" s="284"/>
      <c r="K430" s="292"/>
      <c r="L430" s="4"/>
      <c r="M430" s="4"/>
      <c r="N430" s="293"/>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row>
    <row r="431" spans="1:48">
      <c r="A431" s="288"/>
      <c r="B431" s="289"/>
      <c r="C431" s="288"/>
      <c r="D431" s="4"/>
      <c r="E431" s="4"/>
      <c r="G431" s="290"/>
      <c r="H431" s="4"/>
      <c r="I431" s="291"/>
      <c r="J431" s="284"/>
      <c r="K431" s="292"/>
      <c r="L431" s="4"/>
      <c r="M431" s="4"/>
      <c r="N431" s="293"/>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row>
    <row r="432" spans="1:48">
      <c r="A432" s="288"/>
      <c r="B432" s="289"/>
      <c r="C432" s="288"/>
      <c r="D432" s="4"/>
      <c r="E432" s="4"/>
      <c r="G432" s="290"/>
      <c r="H432" s="4"/>
      <c r="I432" s="291"/>
      <c r="J432" s="284"/>
      <c r="K432" s="292"/>
      <c r="L432" s="4"/>
      <c r="M432" s="4"/>
      <c r="N432" s="293"/>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row>
    <row r="433" spans="1:48">
      <c r="A433" s="288"/>
      <c r="B433" s="289"/>
      <c r="C433" s="288"/>
      <c r="D433" s="4"/>
      <c r="E433" s="4"/>
      <c r="G433" s="290"/>
      <c r="H433" s="4"/>
      <c r="I433" s="291"/>
      <c r="J433" s="284"/>
      <c r="K433" s="292"/>
      <c r="L433" s="4"/>
      <c r="M433" s="4"/>
      <c r="N433" s="293"/>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row>
    <row r="434" spans="1:48">
      <c r="A434" s="288"/>
      <c r="B434" s="289"/>
      <c r="C434" s="288"/>
      <c r="D434" s="4"/>
      <c r="E434" s="4"/>
      <c r="G434" s="290"/>
      <c r="H434" s="4"/>
      <c r="I434" s="291"/>
      <c r="J434" s="284"/>
      <c r="K434" s="292"/>
      <c r="L434" s="4"/>
      <c r="M434" s="4"/>
      <c r="N434" s="293"/>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row>
    <row r="435" spans="1:48">
      <c r="A435" s="288"/>
      <c r="B435" s="289"/>
      <c r="C435" s="288"/>
      <c r="D435" s="4"/>
      <c r="E435" s="4"/>
      <c r="G435" s="290"/>
      <c r="H435" s="4"/>
      <c r="I435" s="291"/>
      <c r="J435" s="284"/>
      <c r="K435" s="292"/>
      <c r="L435" s="4"/>
      <c r="M435" s="4"/>
      <c r="N435" s="293"/>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row>
    <row r="436" spans="1:48">
      <c r="A436" s="288"/>
      <c r="B436" s="289"/>
      <c r="C436" s="288"/>
      <c r="D436" s="4"/>
      <c r="E436" s="4"/>
      <c r="G436" s="290"/>
      <c r="H436" s="4"/>
      <c r="I436" s="291"/>
      <c r="J436" s="284"/>
      <c r="K436" s="292"/>
      <c r="L436" s="4"/>
      <c r="M436" s="4"/>
      <c r="N436" s="293"/>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row>
    <row r="437" spans="1:48">
      <c r="A437" s="288"/>
      <c r="B437" s="289"/>
      <c r="C437" s="288"/>
      <c r="D437" s="4"/>
      <c r="E437" s="4"/>
      <c r="G437" s="290"/>
      <c r="H437" s="4"/>
      <c r="I437" s="291"/>
      <c r="J437" s="284"/>
      <c r="K437" s="292"/>
      <c r="L437" s="4"/>
      <c r="M437" s="4"/>
      <c r="N437" s="293"/>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row>
    <row r="438" spans="1:48">
      <c r="A438" s="288"/>
      <c r="B438" s="289"/>
      <c r="C438" s="288"/>
      <c r="D438" s="4"/>
      <c r="E438" s="4"/>
      <c r="G438" s="290"/>
      <c r="H438" s="4"/>
      <c r="I438" s="291"/>
      <c r="J438" s="284"/>
      <c r="K438" s="292"/>
      <c r="L438" s="4"/>
      <c r="M438" s="4"/>
      <c r="N438" s="293"/>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row>
    <row r="439" spans="1:48">
      <c r="A439" s="288"/>
      <c r="B439" s="289"/>
      <c r="C439" s="288"/>
      <c r="D439" s="4"/>
      <c r="E439" s="4"/>
      <c r="G439" s="290"/>
      <c r="H439" s="4"/>
      <c r="I439" s="291"/>
      <c r="J439" s="284"/>
      <c r="K439" s="292"/>
      <c r="L439" s="4"/>
      <c r="M439" s="4"/>
      <c r="N439" s="293"/>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row>
    <row r="440" spans="1:48">
      <c r="A440" s="288"/>
      <c r="B440" s="289"/>
      <c r="C440" s="288"/>
      <c r="D440" s="4"/>
      <c r="E440" s="4"/>
      <c r="G440" s="290"/>
      <c r="H440" s="4"/>
      <c r="I440" s="291"/>
      <c r="J440" s="284"/>
      <c r="K440" s="292"/>
      <c r="L440" s="4"/>
      <c r="M440" s="4"/>
      <c r="N440" s="293"/>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row>
    <row r="441" spans="1:48">
      <c r="A441" s="288"/>
      <c r="B441" s="289"/>
      <c r="C441" s="288"/>
      <c r="D441" s="4"/>
      <c r="E441" s="4"/>
      <c r="G441" s="290"/>
      <c r="H441" s="4"/>
      <c r="I441" s="291"/>
      <c r="J441" s="284"/>
      <c r="K441" s="292"/>
      <c r="L441" s="4"/>
      <c r="M441" s="4"/>
      <c r="N441" s="293"/>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row>
    <row r="442" spans="1:48">
      <c r="A442" s="288"/>
      <c r="B442" s="289"/>
      <c r="C442" s="288"/>
      <c r="D442" s="4"/>
      <c r="E442" s="4"/>
      <c r="G442" s="290"/>
      <c r="H442" s="4"/>
      <c r="I442" s="291"/>
      <c r="J442" s="284"/>
      <c r="K442" s="292"/>
      <c r="L442" s="4"/>
      <c r="M442" s="4"/>
      <c r="N442" s="293"/>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row>
    <row r="443" spans="1:48">
      <c r="A443" s="288"/>
      <c r="B443" s="289"/>
      <c r="C443" s="288"/>
      <c r="D443" s="4"/>
      <c r="E443" s="4"/>
      <c r="G443" s="290"/>
      <c r="H443" s="4"/>
      <c r="I443" s="291"/>
      <c r="J443" s="284"/>
      <c r="K443" s="292"/>
      <c r="L443" s="4"/>
      <c r="M443" s="4"/>
      <c r="N443" s="293"/>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row>
    <row r="444" spans="1:48">
      <c r="A444" s="288"/>
      <c r="B444" s="289"/>
      <c r="C444" s="288"/>
      <c r="D444" s="4"/>
      <c r="E444" s="4"/>
      <c r="G444" s="290"/>
      <c r="H444" s="4"/>
      <c r="I444" s="291"/>
      <c r="J444" s="284"/>
      <c r="K444" s="292"/>
      <c r="L444" s="4"/>
      <c r="M444" s="4"/>
      <c r="N444" s="293"/>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row>
    <row r="445" spans="1:48">
      <c r="A445" s="288"/>
      <c r="B445" s="289"/>
      <c r="C445" s="288"/>
      <c r="D445" s="4"/>
      <c r="E445" s="4"/>
      <c r="G445" s="290"/>
      <c r="H445" s="4"/>
      <c r="I445" s="291"/>
      <c r="J445" s="284"/>
      <c r="K445" s="292"/>
      <c r="L445" s="4"/>
      <c r="M445" s="4"/>
      <c r="N445" s="293"/>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row>
    <row r="446" spans="1:48">
      <c r="A446" s="288"/>
      <c r="B446" s="289"/>
      <c r="C446" s="288"/>
      <c r="D446" s="4"/>
      <c r="E446" s="4"/>
      <c r="G446" s="290"/>
      <c r="H446" s="4"/>
      <c r="I446" s="291"/>
      <c r="J446" s="284"/>
      <c r="K446" s="292"/>
      <c r="L446" s="4"/>
      <c r="M446" s="4"/>
      <c r="N446" s="293"/>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row>
    <row r="447" spans="1:48">
      <c r="A447" s="288"/>
      <c r="B447" s="289"/>
      <c r="C447" s="288"/>
      <c r="D447" s="4"/>
      <c r="E447" s="4"/>
      <c r="G447" s="290"/>
      <c r="H447" s="4"/>
      <c r="I447" s="291"/>
      <c r="J447" s="284"/>
      <c r="K447" s="292"/>
      <c r="L447" s="4"/>
      <c r="M447" s="4"/>
      <c r="N447" s="293"/>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row>
    <row r="448" spans="1:48">
      <c r="A448" s="288"/>
      <c r="B448" s="289"/>
      <c r="C448" s="288"/>
      <c r="D448" s="4"/>
      <c r="E448" s="4"/>
      <c r="G448" s="290"/>
      <c r="H448" s="4"/>
      <c r="I448" s="291"/>
      <c r="J448" s="284"/>
      <c r="K448" s="292"/>
      <c r="L448" s="4"/>
      <c r="M448" s="4"/>
      <c r="N448" s="293"/>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row>
    <row r="449" spans="1:48">
      <c r="A449" s="288"/>
      <c r="B449" s="289"/>
      <c r="C449" s="288"/>
      <c r="D449" s="4"/>
      <c r="E449" s="4"/>
      <c r="G449" s="290"/>
      <c r="H449" s="4"/>
      <c r="I449" s="291"/>
      <c r="J449" s="284"/>
      <c r="K449" s="292"/>
      <c r="L449" s="4"/>
      <c r="M449" s="4"/>
      <c r="N449" s="293"/>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row>
    <row r="450" spans="1:48">
      <c r="A450" s="288"/>
      <c r="B450" s="289"/>
      <c r="C450" s="288"/>
      <c r="D450" s="4"/>
      <c r="E450" s="4"/>
      <c r="G450" s="290"/>
      <c r="H450" s="4"/>
      <c r="I450" s="291"/>
      <c r="J450" s="284"/>
      <c r="K450" s="292"/>
      <c r="L450" s="4"/>
      <c r="M450" s="4"/>
      <c r="N450" s="293"/>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row>
    <row r="451" spans="1:48">
      <c r="A451" s="288"/>
      <c r="B451" s="289"/>
      <c r="C451" s="288"/>
      <c r="D451" s="4"/>
      <c r="E451" s="4"/>
      <c r="G451" s="290"/>
      <c r="H451" s="4"/>
      <c r="I451" s="291"/>
      <c r="J451" s="284"/>
      <c r="K451" s="292"/>
      <c r="L451" s="4"/>
      <c r="M451" s="4"/>
      <c r="N451" s="293"/>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row>
    <row r="452" spans="1:48">
      <c r="A452" s="288"/>
      <c r="B452" s="289"/>
      <c r="C452" s="288"/>
      <c r="D452" s="4"/>
      <c r="E452" s="4"/>
      <c r="G452" s="290"/>
      <c r="H452" s="4"/>
      <c r="I452" s="291"/>
      <c r="J452" s="284"/>
      <c r="K452" s="292"/>
      <c r="L452" s="4"/>
      <c r="M452" s="4"/>
      <c r="N452" s="293"/>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row>
    <row r="453" spans="1:48">
      <c r="A453" s="288"/>
      <c r="B453" s="289"/>
      <c r="C453" s="288"/>
      <c r="D453" s="4"/>
      <c r="E453" s="4"/>
      <c r="G453" s="290"/>
      <c r="H453" s="4"/>
      <c r="I453" s="291"/>
      <c r="J453" s="284"/>
      <c r="K453" s="292"/>
      <c r="L453" s="4"/>
      <c r="M453" s="4"/>
      <c r="N453" s="293"/>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row>
    <row r="454" spans="1:48">
      <c r="A454" s="288"/>
      <c r="B454" s="289"/>
      <c r="C454" s="288"/>
      <c r="D454" s="4"/>
      <c r="E454" s="4"/>
      <c r="G454" s="290"/>
      <c r="H454" s="4"/>
      <c r="I454" s="291"/>
      <c r="J454" s="284"/>
      <c r="K454" s="292"/>
      <c r="L454" s="4"/>
      <c r="M454" s="4"/>
      <c r="N454" s="293"/>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row>
    <row r="455" spans="1:48">
      <c r="A455" s="288"/>
      <c r="B455" s="289"/>
      <c r="C455" s="288"/>
      <c r="D455" s="4"/>
      <c r="E455" s="4"/>
      <c r="G455" s="290"/>
      <c r="H455" s="4"/>
      <c r="I455" s="291"/>
      <c r="J455" s="284"/>
      <c r="K455" s="292"/>
      <c r="L455" s="4"/>
      <c r="M455" s="4"/>
      <c r="N455" s="293"/>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row>
    <row r="456" spans="1:48">
      <c r="A456" s="288"/>
      <c r="B456" s="289"/>
      <c r="C456" s="288"/>
      <c r="D456" s="4"/>
      <c r="E456" s="4"/>
      <c r="G456" s="290"/>
      <c r="H456" s="4"/>
      <c r="I456" s="291"/>
      <c r="J456" s="284"/>
      <c r="K456" s="292"/>
      <c r="L456" s="4"/>
      <c r="M456" s="4"/>
      <c r="N456" s="293"/>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row>
    <row r="457" spans="1:48">
      <c r="A457" s="288"/>
      <c r="B457" s="289"/>
      <c r="C457" s="288"/>
      <c r="D457" s="4"/>
      <c r="E457" s="4"/>
      <c r="G457" s="290"/>
      <c r="H457" s="4"/>
      <c r="I457" s="291"/>
      <c r="J457" s="284"/>
      <c r="K457" s="292"/>
      <c r="L457" s="4"/>
      <c r="M457" s="4"/>
      <c r="N457" s="293"/>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row>
    <row r="458" spans="1:48">
      <c r="A458" s="288"/>
      <c r="B458" s="289"/>
      <c r="C458" s="288"/>
      <c r="D458" s="4"/>
      <c r="E458" s="4"/>
      <c r="G458" s="290"/>
      <c r="H458" s="4"/>
      <c r="I458" s="291"/>
      <c r="J458" s="284"/>
      <c r="K458" s="292"/>
      <c r="L458" s="4"/>
      <c r="M458" s="4"/>
      <c r="N458" s="293"/>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row>
    <row r="459" spans="1:48">
      <c r="A459" s="288"/>
      <c r="B459" s="289"/>
      <c r="C459" s="288"/>
      <c r="D459" s="4"/>
      <c r="E459" s="4"/>
      <c r="G459" s="290"/>
      <c r="H459" s="4"/>
      <c r="I459" s="291"/>
      <c r="J459" s="284"/>
      <c r="K459" s="292"/>
      <c r="L459" s="4"/>
      <c r="M459" s="4"/>
      <c r="N459" s="293"/>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row>
    <row r="460" spans="1:48">
      <c r="A460" s="288"/>
      <c r="B460" s="289"/>
      <c r="C460" s="288"/>
      <c r="D460" s="4"/>
      <c r="E460" s="4"/>
      <c r="G460" s="290"/>
      <c r="H460" s="4"/>
      <c r="I460" s="291"/>
      <c r="J460" s="284"/>
      <c r="K460" s="292"/>
      <c r="L460" s="4"/>
      <c r="M460" s="4"/>
      <c r="N460" s="293"/>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row>
    <row r="461" spans="1:48">
      <c r="A461" s="288"/>
      <c r="B461" s="289"/>
      <c r="C461" s="288"/>
      <c r="D461" s="4"/>
      <c r="E461" s="4"/>
      <c r="G461" s="290"/>
      <c r="H461" s="4"/>
      <c r="I461" s="291"/>
      <c r="J461" s="284"/>
      <c r="K461" s="292"/>
      <c r="L461" s="4"/>
      <c r="M461" s="4"/>
      <c r="N461" s="293"/>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row>
    <row r="462" spans="1:48">
      <c r="A462" s="288"/>
      <c r="B462" s="289"/>
      <c r="C462" s="288"/>
      <c r="D462" s="4"/>
      <c r="E462" s="4"/>
      <c r="G462" s="290"/>
      <c r="H462" s="4"/>
      <c r="I462" s="291"/>
      <c r="J462" s="284"/>
      <c r="K462" s="292"/>
      <c r="L462" s="4"/>
      <c r="M462" s="4"/>
      <c r="N462" s="293"/>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row>
    <row r="463" spans="1:48">
      <c r="A463" s="288"/>
      <c r="B463" s="289"/>
      <c r="C463" s="288"/>
      <c r="D463" s="4"/>
      <c r="E463" s="4"/>
      <c r="G463" s="290"/>
      <c r="H463" s="4"/>
      <c r="I463" s="291"/>
      <c r="J463" s="284"/>
      <c r="K463" s="292"/>
      <c r="L463" s="4"/>
      <c r="M463" s="4"/>
      <c r="N463" s="293"/>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row>
    <row r="464" spans="1:48">
      <c r="A464" s="288"/>
      <c r="B464" s="289"/>
      <c r="C464" s="288"/>
      <c r="D464" s="4"/>
      <c r="E464" s="4"/>
      <c r="G464" s="290"/>
      <c r="H464" s="4"/>
      <c r="I464" s="291"/>
      <c r="J464" s="284"/>
      <c r="K464" s="292"/>
      <c r="L464" s="4"/>
      <c r="M464" s="4"/>
      <c r="N464" s="293"/>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row>
    <row r="465" spans="1:48">
      <c r="A465" s="288"/>
      <c r="B465" s="289"/>
      <c r="C465" s="288"/>
      <c r="D465" s="4"/>
      <c r="E465" s="4"/>
      <c r="G465" s="290"/>
      <c r="H465" s="4"/>
      <c r="I465" s="291"/>
      <c r="J465" s="284"/>
      <c r="K465" s="292"/>
      <c r="L465" s="4"/>
      <c r="M465" s="4"/>
      <c r="N465" s="293"/>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row>
    <row r="466" spans="1:48">
      <c r="A466" s="288"/>
      <c r="B466" s="289"/>
      <c r="C466" s="288"/>
      <c r="D466" s="4"/>
      <c r="E466" s="4"/>
      <c r="G466" s="290"/>
      <c r="H466" s="4"/>
      <c r="I466" s="291"/>
      <c r="J466" s="284"/>
      <c r="K466" s="292"/>
      <c r="L466" s="4"/>
      <c r="M466" s="4"/>
      <c r="N466" s="293"/>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row>
    <row r="467" spans="1:48">
      <c r="A467" s="288"/>
      <c r="B467" s="289"/>
      <c r="C467" s="288"/>
      <c r="D467" s="4"/>
      <c r="E467" s="4"/>
      <c r="G467" s="290"/>
      <c r="H467" s="4"/>
      <c r="I467" s="291"/>
      <c r="J467" s="284"/>
      <c r="K467" s="292"/>
      <c r="L467" s="4"/>
      <c r="M467" s="4"/>
      <c r="N467" s="293"/>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row>
    <row r="468" spans="1:48">
      <c r="A468" s="288"/>
      <c r="B468" s="289"/>
      <c r="C468" s="288"/>
      <c r="D468" s="4"/>
      <c r="E468" s="4"/>
      <c r="G468" s="290"/>
      <c r="H468" s="4"/>
      <c r="I468" s="291"/>
      <c r="J468" s="284"/>
      <c r="K468" s="292"/>
      <c r="L468" s="4"/>
      <c r="M468" s="4"/>
      <c r="N468" s="293"/>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row>
    <row r="469" spans="1:48">
      <c r="A469" s="288"/>
      <c r="B469" s="289"/>
      <c r="C469" s="288"/>
      <c r="D469" s="4"/>
      <c r="E469" s="4"/>
      <c r="G469" s="290"/>
      <c r="H469" s="4"/>
      <c r="I469" s="291"/>
      <c r="J469" s="284"/>
      <c r="K469" s="292"/>
      <c r="L469" s="4"/>
      <c r="M469" s="4"/>
      <c r="N469" s="293"/>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row>
    <row r="470" spans="1:48">
      <c r="A470" s="288"/>
      <c r="B470" s="289"/>
      <c r="C470" s="288"/>
      <c r="D470" s="4"/>
      <c r="E470" s="4"/>
      <c r="G470" s="290"/>
      <c r="H470" s="4"/>
      <c r="I470" s="291"/>
      <c r="J470" s="284"/>
      <c r="K470" s="292"/>
      <c r="L470" s="4"/>
      <c r="M470" s="4"/>
      <c r="N470" s="293"/>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row>
    <row r="471" spans="1:48">
      <c r="A471" s="288"/>
      <c r="B471" s="289"/>
      <c r="C471" s="288"/>
      <c r="D471" s="4"/>
      <c r="E471" s="4"/>
      <c r="G471" s="290"/>
      <c r="H471" s="4"/>
      <c r="I471" s="291"/>
      <c r="J471" s="284"/>
      <c r="K471" s="292"/>
      <c r="L471" s="4"/>
      <c r="M471" s="4"/>
      <c r="N471" s="293"/>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row>
    <row r="472" spans="1:48">
      <c r="A472" s="288"/>
      <c r="B472" s="289"/>
      <c r="C472" s="288"/>
      <c r="D472" s="4"/>
      <c r="E472" s="4"/>
      <c r="G472" s="290"/>
      <c r="H472" s="4"/>
      <c r="I472" s="291"/>
      <c r="J472" s="284"/>
      <c r="K472" s="292"/>
      <c r="L472" s="4"/>
      <c r="M472" s="4"/>
      <c r="N472" s="293"/>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row>
    <row r="473" spans="1:48">
      <c r="A473" s="288"/>
      <c r="B473" s="289"/>
      <c r="C473" s="288"/>
      <c r="D473" s="4"/>
      <c r="E473" s="4"/>
      <c r="G473" s="290"/>
      <c r="H473" s="4"/>
      <c r="I473" s="291"/>
      <c r="J473" s="284"/>
      <c r="K473" s="292"/>
      <c r="L473" s="4"/>
      <c r="M473" s="4"/>
      <c r="N473" s="293"/>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row>
    <row r="474" spans="1:48">
      <c r="A474" s="288"/>
      <c r="B474" s="289"/>
      <c r="C474" s="288"/>
      <c r="D474" s="4"/>
      <c r="E474" s="4"/>
      <c r="G474" s="290"/>
      <c r="H474" s="4"/>
      <c r="I474" s="291"/>
      <c r="J474" s="284"/>
      <c r="K474" s="292"/>
      <c r="L474" s="4"/>
      <c r="M474" s="4"/>
      <c r="N474" s="293"/>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row>
    <row r="475" spans="1:48">
      <c r="A475" s="288"/>
      <c r="B475" s="289"/>
      <c r="C475" s="288"/>
      <c r="D475" s="4"/>
      <c r="E475" s="4"/>
      <c r="G475" s="290"/>
      <c r="H475" s="4"/>
      <c r="I475" s="291"/>
      <c r="J475" s="284"/>
      <c r="K475" s="292"/>
      <c r="L475" s="4"/>
      <c r="M475" s="4"/>
      <c r="N475" s="293"/>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row>
    <row r="476" spans="1:48">
      <c r="A476" s="288"/>
      <c r="B476" s="289"/>
      <c r="C476" s="288"/>
      <c r="D476" s="4"/>
      <c r="E476" s="4"/>
      <c r="G476" s="290"/>
      <c r="H476" s="4"/>
      <c r="I476" s="291"/>
      <c r="J476" s="284"/>
      <c r="K476" s="292"/>
      <c r="L476" s="4"/>
      <c r="M476" s="4"/>
      <c r="N476" s="293"/>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row>
    <row r="477" spans="1:48">
      <c r="A477" s="288"/>
      <c r="B477" s="289"/>
      <c r="C477" s="288"/>
      <c r="D477" s="4"/>
      <c r="E477" s="4"/>
      <c r="G477" s="290"/>
      <c r="H477" s="4"/>
      <c r="I477" s="291"/>
      <c r="J477" s="284"/>
      <c r="K477" s="292"/>
      <c r="L477" s="4"/>
      <c r="M477" s="4"/>
      <c r="N477" s="293"/>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row>
    <row r="478" spans="1:48">
      <c r="A478" s="288"/>
      <c r="B478" s="289"/>
      <c r="C478" s="288"/>
      <c r="D478" s="4"/>
      <c r="E478" s="4"/>
      <c r="G478" s="290"/>
      <c r="H478" s="4"/>
      <c r="I478" s="291"/>
      <c r="J478" s="284"/>
      <c r="K478" s="292"/>
      <c r="L478" s="4"/>
      <c r="M478" s="4"/>
      <c r="N478" s="293"/>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row>
    <row r="479" spans="1:48">
      <c r="A479" s="288"/>
      <c r="B479" s="289"/>
      <c r="C479" s="288"/>
      <c r="D479" s="4"/>
      <c r="E479" s="4"/>
      <c r="G479" s="290"/>
      <c r="H479" s="4"/>
      <c r="I479" s="291"/>
      <c r="J479" s="284"/>
      <c r="K479" s="292"/>
      <c r="L479" s="4"/>
      <c r="M479" s="4"/>
      <c r="N479" s="293"/>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row>
    <row r="480" spans="1:48">
      <c r="A480" s="288"/>
      <c r="B480" s="289"/>
      <c r="C480" s="288"/>
      <c r="D480" s="4"/>
      <c r="E480" s="4"/>
      <c r="G480" s="290"/>
      <c r="H480" s="4"/>
      <c r="I480" s="291"/>
      <c r="J480" s="284"/>
      <c r="K480" s="292"/>
      <c r="L480" s="4"/>
      <c r="M480" s="4"/>
      <c r="N480" s="293"/>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row>
    <row r="481" spans="1:48">
      <c r="A481" s="288"/>
      <c r="B481" s="289"/>
      <c r="C481" s="288"/>
      <c r="D481" s="4"/>
      <c r="E481" s="4"/>
      <c r="G481" s="290"/>
      <c r="H481" s="4"/>
      <c r="I481" s="291"/>
      <c r="J481" s="284"/>
      <c r="K481" s="292"/>
      <c r="L481" s="4"/>
      <c r="M481" s="4"/>
      <c r="N481" s="293"/>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row>
    <row r="482" spans="1:48">
      <c r="A482" s="288"/>
      <c r="B482" s="289"/>
      <c r="C482" s="288"/>
      <c r="D482" s="4"/>
      <c r="E482" s="4"/>
      <c r="G482" s="290"/>
      <c r="H482" s="4"/>
      <c r="I482" s="291"/>
      <c r="J482" s="284"/>
      <c r="K482" s="292"/>
      <c r="L482" s="4"/>
      <c r="M482" s="4"/>
      <c r="N482" s="293"/>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row>
    <row r="483" spans="1:48">
      <c r="A483" s="288"/>
      <c r="B483" s="289"/>
      <c r="C483" s="288"/>
      <c r="D483" s="4"/>
      <c r="E483" s="4"/>
      <c r="G483" s="290"/>
      <c r="H483" s="4"/>
      <c r="I483" s="291"/>
      <c r="J483" s="284"/>
      <c r="K483" s="292"/>
      <c r="L483" s="4"/>
      <c r="M483" s="4"/>
      <c r="N483" s="293"/>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row>
    <row r="484" spans="1:48">
      <c r="A484" s="288"/>
      <c r="B484" s="289"/>
      <c r="C484" s="288"/>
      <c r="D484" s="4"/>
      <c r="E484" s="4"/>
      <c r="G484" s="290"/>
      <c r="H484" s="4"/>
      <c r="I484" s="291"/>
      <c r="J484" s="284"/>
      <c r="K484" s="292"/>
      <c r="L484" s="4"/>
      <c r="M484" s="4"/>
      <c r="N484" s="293"/>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row>
    <row r="485" spans="1:48">
      <c r="A485" s="288"/>
      <c r="B485" s="289"/>
      <c r="C485" s="288"/>
      <c r="D485" s="4"/>
      <c r="E485" s="4"/>
      <c r="G485" s="290"/>
      <c r="H485" s="4"/>
      <c r="I485" s="291"/>
      <c r="J485" s="284"/>
      <c r="K485" s="292"/>
      <c r="L485" s="4"/>
      <c r="M485" s="4"/>
      <c r="N485" s="293"/>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row>
    <row r="486" spans="1:48">
      <c r="A486" s="288"/>
      <c r="B486" s="289"/>
      <c r="C486" s="288"/>
      <c r="D486" s="4"/>
      <c r="E486" s="4"/>
      <c r="G486" s="290"/>
      <c r="H486" s="4"/>
      <c r="I486" s="291"/>
      <c r="J486" s="284"/>
      <c r="K486" s="292"/>
      <c r="L486" s="4"/>
      <c r="M486" s="4"/>
      <c r="N486" s="293"/>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row>
    <row r="487" spans="1:48">
      <c r="A487" s="288"/>
      <c r="B487" s="289"/>
      <c r="C487" s="288"/>
      <c r="D487" s="4"/>
      <c r="E487" s="4"/>
      <c r="G487" s="290"/>
      <c r="H487" s="4"/>
      <c r="I487" s="291"/>
      <c r="J487" s="284"/>
      <c r="K487" s="292"/>
      <c r="L487" s="4"/>
      <c r="M487" s="4"/>
      <c r="N487" s="293"/>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row>
    <row r="488" spans="1:48">
      <c r="A488" s="288"/>
      <c r="B488" s="289"/>
      <c r="C488" s="288"/>
      <c r="D488" s="4"/>
      <c r="E488" s="4"/>
      <c r="G488" s="290"/>
      <c r="H488" s="4"/>
      <c r="I488" s="291"/>
      <c r="J488" s="284"/>
      <c r="K488" s="292"/>
      <c r="L488" s="4"/>
      <c r="M488" s="4"/>
      <c r="N488" s="293"/>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row>
    <row r="489" spans="1:48">
      <c r="A489" s="288"/>
      <c r="B489" s="289"/>
      <c r="C489" s="288"/>
      <c r="D489" s="4"/>
      <c r="E489" s="4"/>
      <c r="G489" s="290"/>
      <c r="H489" s="4"/>
      <c r="I489" s="291"/>
      <c r="J489" s="284"/>
      <c r="K489" s="292"/>
      <c r="L489" s="4"/>
      <c r="M489" s="4"/>
      <c r="N489" s="293"/>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row>
    <row r="490" spans="1:48">
      <c r="A490" s="288"/>
      <c r="B490" s="289"/>
      <c r="C490" s="288"/>
      <c r="D490" s="4"/>
      <c r="E490" s="4"/>
      <c r="G490" s="290"/>
      <c r="H490" s="4"/>
      <c r="I490" s="291"/>
      <c r="J490" s="284"/>
      <c r="K490" s="292"/>
      <c r="L490" s="4"/>
      <c r="M490" s="4"/>
      <c r="N490" s="293"/>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row>
    <row r="491" spans="1:48">
      <c r="A491" s="288"/>
      <c r="B491" s="289"/>
      <c r="C491" s="288"/>
      <c r="D491" s="4"/>
      <c r="E491" s="4"/>
      <c r="G491" s="290"/>
      <c r="H491" s="4"/>
      <c r="I491" s="291"/>
      <c r="J491" s="284"/>
      <c r="K491" s="292"/>
      <c r="L491" s="4"/>
      <c r="M491" s="4"/>
      <c r="N491" s="293"/>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row>
    <row r="492" spans="1:48">
      <c r="A492" s="288"/>
      <c r="B492" s="289"/>
      <c r="C492" s="288"/>
      <c r="D492" s="4"/>
      <c r="E492" s="4"/>
      <c r="G492" s="290"/>
      <c r="H492" s="4"/>
      <c r="I492" s="291"/>
      <c r="J492" s="284"/>
      <c r="K492" s="292"/>
      <c r="L492" s="4"/>
      <c r="M492" s="4"/>
      <c r="N492" s="293"/>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row>
    <row r="493" spans="1:48">
      <c r="A493" s="288"/>
      <c r="B493" s="289"/>
      <c r="C493" s="288"/>
      <c r="D493" s="4"/>
      <c r="E493" s="4"/>
      <c r="G493" s="290"/>
      <c r="H493" s="4"/>
      <c r="I493" s="291"/>
      <c r="J493" s="284"/>
      <c r="K493" s="292"/>
      <c r="L493" s="4"/>
      <c r="M493" s="4"/>
      <c r="N493" s="293"/>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row>
    <row r="494" spans="1:48">
      <c r="A494" s="288"/>
      <c r="B494" s="289"/>
      <c r="C494" s="288"/>
      <c r="D494" s="4"/>
      <c r="E494" s="4"/>
      <c r="G494" s="290"/>
      <c r="H494" s="4"/>
      <c r="I494" s="291"/>
      <c r="J494" s="284"/>
      <c r="K494" s="292"/>
      <c r="L494" s="4"/>
      <c r="M494" s="4"/>
      <c r="N494" s="293"/>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row>
    <row r="495" spans="1:48">
      <c r="A495" s="288"/>
      <c r="B495" s="289"/>
      <c r="C495" s="288"/>
      <c r="D495" s="4"/>
      <c r="E495" s="4"/>
      <c r="G495" s="290"/>
      <c r="H495" s="4"/>
      <c r="I495" s="291"/>
      <c r="J495" s="284"/>
      <c r="K495" s="292"/>
      <c r="L495" s="4"/>
      <c r="M495" s="4"/>
      <c r="N495" s="293"/>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row>
    <row r="496" spans="1:48">
      <c r="A496" s="288"/>
      <c r="B496" s="289"/>
      <c r="C496" s="288"/>
      <c r="D496" s="4"/>
      <c r="E496" s="4"/>
      <c r="G496" s="290"/>
      <c r="H496" s="4"/>
      <c r="I496" s="291"/>
      <c r="J496" s="284"/>
      <c r="K496" s="292"/>
      <c r="L496" s="4"/>
      <c r="M496" s="4"/>
      <c r="N496" s="293"/>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row>
    <row r="497" spans="1:48">
      <c r="A497" s="288"/>
      <c r="B497" s="289"/>
      <c r="C497" s="288"/>
      <c r="D497" s="4"/>
      <c r="E497" s="4"/>
      <c r="G497" s="290"/>
      <c r="H497" s="4"/>
      <c r="I497" s="291"/>
      <c r="J497" s="284"/>
      <c r="K497" s="292"/>
      <c r="L497" s="4"/>
      <c r="M497" s="4"/>
      <c r="N497" s="293"/>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row>
    <row r="498" spans="1:48">
      <c r="A498" s="288"/>
      <c r="B498" s="289"/>
      <c r="C498" s="288"/>
      <c r="D498" s="4"/>
      <c r="E498" s="4"/>
      <c r="G498" s="290"/>
      <c r="H498" s="4"/>
      <c r="I498" s="291"/>
      <c r="J498" s="284"/>
      <c r="K498" s="292"/>
      <c r="L498" s="4"/>
      <c r="M498" s="4"/>
      <c r="N498" s="293"/>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row>
    <row r="499" spans="1:48">
      <c r="A499" s="288"/>
      <c r="B499" s="289"/>
      <c r="C499" s="288"/>
      <c r="D499" s="4"/>
      <c r="E499" s="4"/>
      <c r="G499" s="290"/>
      <c r="H499" s="4"/>
      <c r="I499" s="291"/>
      <c r="J499" s="284"/>
      <c r="K499" s="292"/>
      <c r="L499" s="4"/>
      <c r="M499" s="4"/>
      <c r="N499" s="293"/>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row>
    <row r="500" spans="1:48">
      <c r="A500" s="288"/>
      <c r="B500" s="289"/>
      <c r="C500" s="288"/>
      <c r="D500" s="4"/>
      <c r="E500" s="4"/>
      <c r="G500" s="290"/>
      <c r="H500" s="4"/>
      <c r="I500" s="291"/>
      <c r="J500" s="284"/>
      <c r="K500" s="292"/>
      <c r="L500" s="4"/>
      <c r="M500" s="4"/>
      <c r="N500" s="293"/>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row>
    <row r="501" spans="1:48">
      <c r="A501" s="288"/>
      <c r="B501" s="289"/>
      <c r="C501" s="288"/>
      <c r="D501" s="4"/>
      <c r="E501" s="4"/>
      <c r="G501" s="290"/>
      <c r="H501" s="4"/>
      <c r="I501" s="291"/>
      <c r="J501" s="284"/>
      <c r="K501" s="292"/>
      <c r="L501" s="4"/>
      <c r="M501" s="4"/>
      <c r="N501" s="293"/>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row>
    <row r="502" spans="1:48">
      <c r="A502" s="288"/>
      <c r="B502" s="289"/>
      <c r="C502" s="288"/>
      <c r="D502" s="4"/>
      <c r="E502" s="4"/>
      <c r="G502" s="290"/>
      <c r="H502" s="4"/>
      <c r="I502" s="291"/>
      <c r="J502" s="284"/>
      <c r="K502" s="292"/>
      <c r="L502" s="4"/>
      <c r="M502" s="4"/>
      <c r="N502" s="293"/>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row>
    <row r="503" spans="1:48">
      <c r="A503" s="288"/>
      <c r="B503" s="289"/>
      <c r="C503" s="288"/>
      <c r="D503" s="4"/>
      <c r="E503" s="4"/>
      <c r="G503" s="290"/>
      <c r="H503" s="4"/>
      <c r="I503" s="291"/>
      <c r="J503" s="284"/>
      <c r="K503" s="292"/>
      <c r="L503" s="4"/>
      <c r="M503" s="4"/>
      <c r="N503" s="293"/>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row>
    <row r="504" spans="1:48">
      <c r="A504" s="288"/>
      <c r="B504" s="289"/>
      <c r="C504" s="288"/>
      <c r="D504" s="4"/>
      <c r="E504" s="4"/>
      <c r="G504" s="290"/>
      <c r="H504" s="4"/>
      <c r="I504" s="291"/>
      <c r="J504" s="284"/>
      <c r="K504" s="292"/>
      <c r="L504" s="4"/>
      <c r="M504" s="4"/>
      <c r="N504" s="293"/>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row>
    <row r="505" spans="1:48">
      <c r="A505" s="288"/>
      <c r="B505" s="289"/>
      <c r="C505" s="288"/>
      <c r="D505" s="4"/>
      <c r="E505" s="4"/>
      <c r="G505" s="290"/>
      <c r="H505" s="4"/>
      <c r="I505" s="291"/>
      <c r="J505" s="284"/>
      <c r="K505" s="292"/>
      <c r="L505" s="4"/>
      <c r="M505" s="4"/>
      <c r="N505" s="293"/>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row>
    <row r="506" spans="1:48">
      <c r="A506" s="288"/>
      <c r="B506" s="289"/>
      <c r="C506" s="288"/>
      <c r="D506" s="4"/>
      <c r="E506" s="4"/>
      <c r="G506" s="290"/>
      <c r="H506" s="4"/>
      <c r="I506" s="291"/>
      <c r="J506" s="284"/>
      <c r="K506" s="292"/>
      <c r="L506" s="4"/>
      <c r="M506" s="4"/>
      <c r="N506" s="293"/>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row>
    <row r="507" spans="1:48">
      <c r="A507" s="288"/>
      <c r="B507" s="289"/>
      <c r="C507" s="288"/>
      <c r="D507" s="4"/>
      <c r="E507" s="4"/>
      <c r="G507" s="290"/>
      <c r="H507" s="4"/>
      <c r="I507" s="291"/>
      <c r="J507" s="284"/>
      <c r="K507" s="292"/>
      <c r="L507" s="4"/>
      <c r="M507" s="4"/>
      <c r="N507" s="293"/>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row>
    <row r="508" spans="1:48">
      <c r="A508" s="288"/>
      <c r="B508" s="289"/>
      <c r="C508" s="288"/>
      <c r="D508" s="4"/>
      <c r="E508" s="4"/>
      <c r="G508" s="290"/>
      <c r="H508" s="4"/>
      <c r="I508" s="291"/>
      <c r="J508" s="284"/>
      <c r="K508" s="292"/>
      <c r="L508" s="4"/>
      <c r="M508" s="4"/>
      <c r="N508" s="293"/>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row>
    <row r="509" spans="1:48">
      <c r="A509" s="288"/>
      <c r="B509" s="289"/>
      <c r="C509" s="288"/>
      <c r="D509" s="4"/>
      <c r="E509" s="4"/>
      <c r="G509" s="290"/>
      <c r="H509" s="4"/>
      <c r="I509" s="291"/>
      <c r="J509" s="284"/>
      <c r="K509" s="292"/>
      <c r="L509" s="4"/>
      <c r="M509" s="4"/>
      <c r="N509" s="293"/>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row>
    <row r="510" spans="1:48">
      <c r="A510" s="288"/>
      <c r="B510" s="289"/>
      <c r="C510" s="288"/>
      <c r="D510" s="4"/>
      <c r="E510" s="4"/>
      <c r="G510" s="290"/>
      <c r="H510" s="4"/>
      <c r="I510" s="291"/>
      <c r="J510" s="284"/>
      <c r="K510" s="292"/>
      <c r="L510" s="4"/>
      <c r="M510" s="4"/>
      <c r="N510" s="293"/>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row>
    <row r="511" spans="1:48">
      <c r="A511" s="288"/>
      <c r="B511" s="289"/>
      <c r="C511" s="288"/>
      <c r="D511" s="4"/>
      <c r="E511" s="4"/>
      <c r="G511" s="290"/>
      <c r="H511" s="4"/>
      <c r="I511" s="291"/>
      <c r="J511" s="284"/>
      <c r="K511" s="292"/>
      <c r="L511" s="4"/>
      <c r="M511" s="4"/>
      <c r="N511" s="293"/>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row>
    <row r="512" spans="1:48">
      <c r="A512" s="288"/>
      <c r="B512" s="289"/>
      <c r="C512" s="288"/>
      <c r="D512" s="4"/>
      <c r="E512" s="4"/>
      <c r="G512" s="290"/>
      <c r="H512" s="4"/>
      <c r="I512" s="291"/>
      <c r="J512" s="284"/>
      <c r="K512" s="292"/>
      <c r="L512" s="4"/>
      <c r="M512" s="4"/>
      <c r="N512" s="293"/>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row>
    <row r="513" spans="1:48">
      <c r="A513" s="288"/>
      <c r="B513" s="289"/>
      <c r="C513" s="288"/>
      <c r="D513" s="4"/>
      <c r="E513" s="4"/>
      <c r="G513" s="290"/>
      <c r="H513" s="4"/>
      <c r="I513" s="291"/>
      <c r="J513" s="284"/>
      <c r="K513" s="292"/>
      <c r="L513" s="4"/>
      <c r="M513" s="4"/>
      <c r="N513" s="293"/>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row>
    <row r="514" spans="1:48">
      <c r="A514" s="288"/>
      <c r="B514" s="289"/>
      <c r="C514" s="288"/>
      <c r="D514" s="4"/>
      <c r="E514" s="4"/>
      <c r="G514" s="290"/>
      <c r="H514" s="4"/>
      <c r="I514" s="291"/>
      <c r="J514" s="284"/>
      <c r="K514" s="292"/>
      <c r="L514" s="4"/>
      <c r="M514" s="4"/>
      <c r="N514" s="293"/>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row>
    <row r="515" spans="1:48">
      <c r="A515" s="288"/>
      <c r="B515" s="289"/>
      <c r="C515" s="288"/>
      <c r="D515" s="4"/>
      <c r="E515" s="4"/>
      <c r="G515" s="290"/>
      <c r="H515" s="4"/>
      <c r="I515" s="291"/>
      <c r="J515" s="284"/>
      <c r="K515" s="292"/>
      <c r="L515" s="4"/>
      <c r="M515" s="4"/>
      <c r="N515" s="293"/>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row>
    <row r="516" spans="1:48">
      <c r="A516" s="288"/>
      <c r="B516" s="289"/>
      <c r="C516" s="288"/>
      <c r="D516" s="4"/>
      <c r="E516" s="4"/>
      <c r="G516" s="290"/>
      <c r="H516" s="4"/>
      <c r="I516" s="291"/>
      <c r="J516" s="284"/>
      <c r="K516" s="292"/>
      <c r="L516" s="4"/>
      <c r="M516" s="4"/>
      <c r="N516" s="293"/>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row>
    <row r="517" spans="1:48">
      <c r="A517" s="288"/>
      <c r="B517" s="289"/>
      <c r="C517" s="288"/>
      <c r="D517" s="4"/>
      <c r="E517" s="4"/>
      <c r="G517" s="290"/>
      <c r="H517" s="4"/>
      <c r="I517" s="291"/>
      <c r="J517" s="284"/>
      <c r="K517" s="292"/>
      <c r="L517" s="4"/>
      <c r="M517" s="4"/>
      <c r="N517" s="293"/>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row>
    <row r="518" spans="1:48">
      <c r="A518" s="288"/>
      <c r="B518" s="289"/>
      <c r="C518" s="288"/>
      <c r="D518" s="4"/>
      <c r="E518" s="4"/>
      <c r="G518" s="290"/>
      <c r="H518" s="4"/>
      <c r="I518" s="291"/>
      <c r="J518" s="284"/>
      <c r="K518" s="292"/>
      <c r="L518" s="4"/>
      <c r="M518" s="4"/>
      <c r="N518" s="293"/>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row>
    <row r="519" spans="1:48">
      <c r="A519" s="288"/>
      <c r="B519" s="289"/>
      <c r="C519" s="288"/>
      <c r="D519" s="4"/>
      <c r="E519" s="4"/>
      <c r="G519" s="290"/>
      <c r="H519" s="4"/>
      <c r="I519" s="291"/>
      <c r="J519" s="284"/>
      <c r="K519" s="292"/>
      <c r="L519" s="4"/>
      <c r="M519" s="4"/>
      <c r="N519" s="293"/>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row>
    <row r="520" spans="1:48">
      <c r="A520" s="288"/>
      <c r="B520" s="289"/>
      <c r="C520" s="288"/>
      <c r="D520" s="4"/>
      <c r="E520" s="4"/>
      <c r="G520" s="290"/>
      <c r="H520" s="4"/>
      <c r="I520" s="291"/>
      <c r="J520" s="284"/>
      <c r="K520" s="292"/>
      <c r="L520" s="4"/>
      <c r="M520" s="4"/>
      <c r="N520" s="293"/>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row>
    <row r="521" spans="1:48">
      <c r="A521" s="288"/>
      <c r="B521" s="289"/>
      <c r="C521" s="288"/>
      <c r="D521" s="4"/>
      <c r="E521" s="4"/>
      <c r="G521" s="290"/>
      <c r="H521" s="4"/>
      <c r="I521" s="291"/>
      <c r="J521" s="284"/>
      <c r="K521" s="292"/>
      <c r="L521" s="4"/>
      <c r="M521" s="4"/>
      <c r="N521" s="293"/>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row>
    <row r="522" spans="1:48">
      <c r="A522" s="288"/>
      <c r="B522" s="289"/>
      <c r="C522" s="288"/>
      <c r="D522" s="4"/>
      <c r="E522" s="4"/>
      <c r="G522" s="290"/>
      <c r="H522" s="4"/>
      <c r="I522" s="291"/>
      <c r="J522" s="284"/>
      <c r="K522" s="292"/>
      <c r="L522" s="4"/>
      <c r="M522" s="4"/>
      <c r="N522" s="293"/>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row>
    <row r="523" spans="1:48">
      <c r="A523" s="288"/>
      <c r="B523" s="289"/>
      <c r="C523" s="288"/>
      <c r="D523" s="4"/>
      <c r="E523" s="4"/>
      <c r="G523" s="290"/>
      <c r="H523" s="4"/>
      <c r="I523" s="291"/>
      <c r="J523" s="284"/>
      <c r="K523" s="292"/>
      <c r="L523" s="4"/>
      <c r="M523" s="4"/>
      <c r="N523" s="293"/>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row>
    <row r="524" spans="1:48">
      <c r="A524" s="288"/>
      <c r="B524" s="289"/>
      <c r="C524" s="288"/>
      <c r="D524" s="4"/>
      <c r="E524" s="4"/>
      <c r="G524" s="290"/>
      <c r="H524" s="4"/>
      <c r="I524" s="291"/>
      <c r="J524" s="284"/>
      <c r="K524" s="292"/>
      <c r="L524" s="4"/>
      <c r="M524" s="4"/>
      <c r="N524" s="293"/>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row>
    <row r="525" spans="1:48">
      <c r="A525" s="288"/>
      <c r="B525" s="289"/>
      <c r="C525" s="288"/>
      <c r="D525" s="4"/>
      <c r="E525" s="4"/>
      <c r="G525" s="290"/>
      <c r="H525" s="4"/>
      <c r="I525" s="291"/>
      <c r="J525" s="284"/>
      <c r="K525" s="292"/>
      <c r="L525" s="4"/>
      <c r="M525" s="4"/>
      <c r="N525" s="293"/>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row>
    <row r="526" spans="1:48">
      <c r="A526" s="288"/>
      <c r="B526" s="289"/>
      <c r="C526" s="288"/>
      <c r="D526" s="4"/>
      <c r="E526" s="4"/>
      <c r="G526" s="290"/>
      <c r="H526" s="4"/>
      <c r="I526" s="291"/>
      <c r="J526" s="284"/>
      <c r="K526" s="292"/>
      <c r="L526" s="4"/>
      <c r="M526" s="4"/>
      <c r="N526" s="293"/>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row>
    <row r="527" spans="1:48">
      <c r="A527" s="288"/>
      <c r="B527" s="289"/>
      <c r="C527" s="288"/>
      <c r="D527" s="4"/>
      <c r="E527" s="4"/>
      <c r="G527" s="290"/>
      <c r="H527" s="4"/>
      <c r="I527" s="291"/>
      <c r="J527" s="284"/>
      <c r="K527" s="292"/>
      <c r="L527" s="4"/>
      <c r="M527" s="4"/>
      <c r="N527" s="293"/>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row>
    <row r="528" spans="1:48">
      <c r="A528" s="288"/>
      <c r="B528" s="289"/>
      <c r="C528" s="288"/>
      <c r="D528" s="4"/>
      <c r="E528" s="4"/>
      <c r="G528" s="290"/>
      <c r="H528" s="4"/>
      <c r="I528" s="291"/>
      <c r="J528" s="284"/>
      <c r="K528" s="292"/>
      <c r="L528" s="4"/>
      <c r="M528" s="4"/>
      <c r="N528" s="293"/>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row>
    <row r="529" spans="1:48">
      <c r="A529" s="288"/>
      <c r="B529" s="289"/>
      <c r="C529" s="288"/>
      <c r="D529" s="4"/>
      <c r="E529" s="4"/>
      <c r="G529" s="290"/>
      <c r="H529" s="4"/>
      <c r="I529" s="291"/>
      <c r="J529" s="284"/>
      <c r="K529" s="292"/>
      <c r="L529" s="4"/>
      <c r="M529" s="4"/>
      <c r="N529" s="293"/>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row>
    <row r="530" spans="1:48">
      <c r="A530" s="288"/>
      <c r="B530" s="289"/>
      <c r="C530" s="288"/>
      <c r="D530" s="4"/>
      <c r="E530" s="4"/>
      <c r="G530" s="290"/>
      <c r="H530" s="4"/>
      <c r="I530" s="291"/>
      <c r="J530" s="284"/>
      <c r="K530" s="292"/>
      <c r="L530" s="4"/>
      <c r="M530" s="4"/>
      <c r="N530" s="293"/>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row>
    <row r="531" spans="1:48">
      <c r="A531" s="288"/>
      <c r="B531" s="289"/>
      <c r="C531" s="288"/>
      <c r="D531" s="4"/>
      <c r="E531" s="4"/>
      <c r="G531" s="290"/>
      <c r="H531" s="4"/>
      <c r="I531" s="291"/>
      <c r="J531" s="284"/>
      <c r="K531" s="292"/>
      <c r="L531" s="4"/>
      <c r="M531" s="4"/>
      <c r="N531" s="293"/>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row>
    <row r="532" spans="1:48">
      <c r="A532" s="288"/>
      <c r="B532" s="289"/>
      <c r="C532" s="288"/>
      <c r="D532" s="4"/>
      <c r="E532" s="4"/>
      <c r="G532" s="290"/>
      <c r="H532" s="4"/>
      <c r="I532" s="291"/>
      <c r="J532" s="284"/>
      <c r="K532" s="292"/>
      <c r="L532" s="4"/>
      <c r="M532" s="4"/>
      <c r="N532" s="293"/>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row>
    <row r="533" spans="1:48">
      <c r="A533" s="288"/>
      <c r="B533" s="289"/>
      <c r="C533" s="288"/>
      <c r="D533" s="4"/>
      <c r="E533" s="4"/>
      <c r="G533" s="290"/>
      <c r="H533" s="4"/>
      <c r="I533" s="291"/>
      <c r="J533" s="284"/>
      <c r="K533" s="292"/>
      <c r="L533" s="4"/>
      <c r="M533" s="4"/>
      <c r="N533" s="293"/>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row>
    <row r="534" spans="1:48">
      <c r="A534" s="288"/>
      <c r="B534" s="289"/>
      <c r="C534" s="288"/>
      <c r="D534" s="4"/>
      <c r="E534" s="4"/>
      <c r="G534" s="290"/>
      <c r="H534" s="4"/>
      <c r="I534" s="291"/>
      <c r="J534" s="284"/>
      <c r="K534" s="292"/>
      <c r="L534" s="4"/>
      <c r="M534" s="4"/>
      <c r="N534" s="293"/>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row>
    <row r="535" spans="1:48">
      <c r="A535" s="288"/>
      <c r="B535" s="289"/>
      <c r="C535" s="288"/>
      <c r="D535" s="4"/>
      <c r="E535" s="4"/>
      <c r="G535" s="290"/>
      <c r="H535" s="4"/>
      <c r="I535" s="291"/>
      <c r="J535" s="284"/>
      <c r="K535" s="292"/>
      <c r="L535" s="4"/>
      <c r="M535" s="4"/>
      <c r="N535" s="293"/>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row>
    <row r="536" spans="1:48">
      <c r="A536" s="288"/>
      <c r="B536" s="289"/>
      <c r="C536" s="288"/>
      <c r="D536" s="4"/>
      <c r="E536" s="4"/>
      <c r="G536" s="290"/>
      <c r="H536" s="4"/>
      <c r="I536" s="291"/>
      <c r="J536" s="284"/>
      <c r="K536" s="292"/>
      <c r="L536" s="4"/>
      <c r="M536" s="4"/>
      <c r="N536" s="293"/>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row>
    <row r="537" spans="1:48">
      <c r="A537" s="288"/>
      <c r="B537" s="289"/>
      <c r="C537" s="288"/>
      <c r="D537" s="4"/>
      <c r="E537" s="4"/>
      <c r="G537" s="290"/>
      <c r="H537" s="4"/>
      <c r="I537" s="291"/>
      <c r="J537" s="284"/>
      <c r="K537" s="292"/>
      <c r="L537" s="4"/>
      <c r="M537" s="4"/>
      <c r="N537" s="293"/>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row>
    <row r="538" spans="1:48">
      <c r="A538" s="288"/>
      <c r="B538" s="289"/>
      <c r="C538" s="288"/>
      <c r="D538" s="4"/>
      <c r="E538" s="4"/>
      <c r="G538" s="290"/>
      <c r="H538" s="4"/>
      <c r="I538" s="291"/>
      <c r="J538" s="284"/>
      <c r="K538" s="292"/>
      <c r="L538" s="4"/>
      <c r="M538" s="4"/>
      <c r="N538" s="293"/>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row>
    <row r="539" spans="1:48">
      <c r="A539" s="288"/>
      <c r="B539" s="289"/>
      <c r="C539" s="288"/>
      <c r="D539" s="4"/>
      <c r="E539" s="4"/>
      <c r="G539" s="290"/>
      <c r="H539" s="4"/>
      <c r="I539" s="291"/>
      <c r="J539" s="284"/>
      <c r="K539" s="292"/>
      <c r="L539" s="4"/>
      <c r="M539" s="4"/>
      <c r="N539" s="293"/>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row>
    <row r="540" spans="1:48">
      <c r="A540" s="288"/>
      <c r="B540" s="289"/>
      <c r="C540" s="288"/>
      <c r="D540" s="4"/>
      <c r="E540" s="4"/>
      <c r="G540" s="290"/>
      <c r="H540" s="4"/>
      <c r="I540" s="291"/>
      <c r="J540" s="284"/>
      <c r="K540" s="292"/>
      <c r="L540" s="4"/>
      <c r="M540" s="4"/>
      <c r="N540" s="293"/>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row>
    <row r="541" spans="1:48">
      <c r="A541" s="288"/>
      <c r="B541" s="289"/>
      <c r="C541" s="288"/>
      <c r="D541" s="4"/>
      <c r="E541" s="4"/>
      <c r="G541" s="290"/>
      <c r="H541" s="4"/>
      <c r="I541" s="291"/>
      <c r="J541" s="284"/>
      <c r="K541" s="292"/>
      <c r="L541" s="4"/>
      <c r="M541" s="4"/>
      <c r="N541" s="293"/>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row>
    <row r="542" spans="1:48">
      <c r="A542" s="288"/>
      <c r="B542" s="289"/>
      <c r="C542" s="288"/>
      <c r="D542" s="4"/>
      <c r="E542" s="4"/>
      <c r="G542" s="290"/>
      <c r="H542" s="4"/>
      <c r="I542" s="291"/>
      <c r="J542" s="284"/>
      <c r="K542" s="292"/>
      <c r="L542" s="4"/>
      <c r="M542" s="4"/>
      <c r="N542" s="293"/>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row>
    <row r="543" spans="1:48">
      <c r="A543" s="288"/>
      <c r="B543" s="289"/>
      <c r="C543" s="288"/>
      <c r="D543" s="4"/>
      <c r="E543" s="4"/>
      <c r="G543" s="290"/>
      <c r="H543" s="4"/>
      <c r="I543" s="291"/>
      <c r="J543" s="284"/>
      <c r="K543" s="292"/>
      <c r="L543" s="4"/>
      <c r="M543" s="4"/>
      <c r="N543" s="293"/>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row>
    <row r="544" spans="1:48">
      <c r="A544" s="288"/>
      <c r="B544" s="289"/>
      <c r="C544" s="288"/>
      <c r="D544" s="4"/>
      <c r="E544" s="4"/>
      <c r="G544" s="290"/>
      <c r="H544" s="4"/>
      <c r="I544" s="291"/>
      <c r="J544" s="284"/>
      <c r="K544" s="292"/>
      <c r="L544" s="4"/>
      <c r="M544" s="4"/>
      <c r="N544" s="293"/>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row>
    <row r="545" spans="1:48">
      <c r="A545" s="288"/>
      <c r="B545" s="289"/>
      <c r="C545" s="288"/>
      <c r="D545" s="4"/>
      <c r="E545" s="4"/>
      <c r="G545" s="290"/>
      <c r="H545" s="4"/>
      <c r="I545" s="291"/>
      <c r="J545" s="284"/>
      <c r="K545" s="292"/>
      <c r="L545" s="4"/>
      <c r="M545" s="4"/>
      <c r="N545" s="293"/>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row>
    <row r="546" spans="1:48">
      <c r="A546" s="288"/>
      <c r="B546" s="289"/>
      <c r="C546" s="288"/>
      <c r="D546" s="4"/>
      <c r="E546" s="4"/>
      <c r="G546" s="290"/>
      <c r="H546" s="4"/>
      <c r="I546" s="291"/>
      <c r="J546" s="284"/>
      <c r="K546" s="292"/>
      <c r="L546" s="4"/>
      <c r="M546" s="4"/>
      <c r="N546" s="293"/>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row>
    <row r="547" spans="1:48">
      <c r="A547" s="288"/>
      <c r="B547" s="289"/>
      <c r="C547" s="288"/>
      <c r="D547" s="4"/>
      <c r="E547" s="4"/>
      <c r="G547" s="290"/>
      <c r="H547" s="4"/>
      <c r="I547" s="291"/>
      <c r="J547" s="284"/>
      <c r="K547" s="292"/>
      <c r="L547" s="4"/>
      <c r="M547" s="4"/>
      <c r="N547" s="293"/>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row>
    <row r="548" spans="1:48">
      <c r="A548" s="288"/>
      <c r="B548" s="289"/>
      <c r="C548" s="288"/>
      <c r="D548" s="4"/>
      <c r="E548" s="4"/>
      <c r="G548" s="290"/>
      <c r="H548" s="4"/>
      <c r="I548" s="291"/>
      <c r="J548" s="284"/>
      <c r="K548" s="292"/>
      <c r="L548" s="4"/>
      <c r="M548" s="4"/>
      <c r="N548" s="293"/>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row>
    <row r="549" spans="1:48">
      <c r="A549" s="288"/>
      <c r="B549" s="289"/>
      <c r="C549" s="288"/>
      <c r="D549" s="4"/>
      <c r="E549" s="4"/>
      <c r="G549" s="290"/>
      <c r="H549" s="4"/>
      <c r="I549" s="291"/>
      <c r="J549" s="284"/>
      <c r="K549" s="292"/>
      <c r="L549" s="4"/>
      <c r="M549" s="4"/>
      <c r="N549" s="293"/>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row>
    <row r="550" spans="1:48">
      <c r="A550" s="288"/>
      <c r="B550" s="289"/>
      <c r="C550" s="288"/>
      <c r="D550" s="4"/>
      <c r="E550" s="4"/>
      <c r="G550" s="290"/>
      <c r="H550" s="4"/>
      <c r="I550" s="291"/>
      <c r="J550" s="284"/>
      <c r="K550" s="292"/>
      <c r="L550" s="4"/>
      <c r="M550" s="4"/>
      <c r="N550" s="293"/>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row>
    <row r="551" spans="1:48">
      <c r="A551" s="288"/>
      <c r="B551" s="289"/>
      <c r="C551" s="288"/>
      <c r="D551" s="4"/>
      <c r="E551" s="4"/>
      <c r="G551" s="290"/>
      <c r="H551" s="4"/>
      <c r="I551" s="291"/>
      <c r="J551" s="284"/>
      <c r="K551" s="292"/>
      <c r="L551" s="4"/>
      <c r="M551" s="4"/>
      <c r="N551" s="293"/>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row>
    <row r="552" spans="1:48">
      <c r="A552" s="288"/>
      <c r="B552" s="289"/>
      <c r="C552" s="288"/>
      <c r="D552" s="4"/>
      <c r="E552" s="4"/>
      <c r="G552" s="290"/>
      <c r="H552" s="4"/>
      <c r="I552" s="291"/>
      <c r="J552" s="284"/>
      <c r="K552" s="292"/>
      <c r="L552" s="4"/>
      <c r="M552" s="4"/>
      <c r="N552" s="293"/>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row>
    <row r="553" spans="1:48">
      <c r="A553" s="288"/>
      <c r="B553" s="289"/>
      <c r="C553" s="288"/>
      <c r="D553" s="4"/>
      <c r="E553" s="4"/>
      <c r="G553" s="290"/>
      <c r="H553" s="4"/>
      <c r="I553" s="291"/>
      <c r="J553" s="284"/>
      <c r="K553" s="292"/>
      <c r="L553" s="4"/>
      <c r="M553" s="4"/>
      <c r="N553" s="293"/>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row>
    <row r="554" spans="1:48">
      <c r="A554" s="288"/>
      <c r="B554" s="289"/>
      <c r="C554" s="288"/>
      <c r="D554" s="4"/>
      <c r="E554" s="4"/>
      <c r="G554" s="290"/>
      <c r="H554" s="4"/>
      <c r="I554" s="291"/>
      <c r="J554" s="284"/>
      <c r="K554" s="292"/>
      <c r="L554" s="4"/>
      <c r="M554" s="4"/>
      <c r="N554" s="293"/>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row>
    <row r="555" spans="1:48">
      <c r="A555" s="288"/>
      <c r="B555" s="289"/>
      <c r="C555" s="288"/>
      <c r="D555" s="4"/>
      <c r="E555" s="4"/>
      <c r="G555" s="290"/>
      <c r="H555" s="4"/>
      <c r="I555" s="291"/>
      <c r="J555" s="284"/>
      <c r="K555" s="292"/>
      <c r="L555" s="4"/>
      <c r="M555" s="4"/>
      <c r="N555" s="293"/>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row>
    <row r="556" spans="1:48">
      <c r="A556" s="288"/>
      <c r="B556" s="289"/>
      <c r="C556" s="288"/>
      <c r="D556" s="4"/>
      <c r="E556" s="4"/>
      <c r="G556" s="290"/>
      <c r="H556" s="4"/>
      <c r="I556" s="291"/>
      <c r="J556" s="284"/>
      <c r="K556" s="292"/>
      <c r="L556" s="4"/>
      <c r="M556" s="4"/>
      <c r="N556" s="293"/>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row>
    <row r="557" spans="1:48">
      <c r="A557" s="288"/>
      <c r="B557" s="289"/>
      <c r="C557" s="288"/>
      <c r="D557" s="4"/>
      <c r="E557" s="4"/>
      <c r="G557" s="290"/>
      <c r="H557" s="4"/>
      <c r="I557" s="291"/>
      <c r="J557" s="284"/>
      <c r="K557" s="292"/>
      <c r="L557" s="4"/>
      <c r="M557" s="4"/>
      <c r="N557" s="293"/>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row>
    <row r="558" spans="1:48">
      <c r="A558" s="288"/>
      <c r="B558" s="289"/>
      <c r="C558" s="288"/>
      <c r="D558" s="4"/>
      <c r="E558" s="4"/>
      <c r="G558" s="290"/>
      <c r="H558" s="4"/>
      <c r="I558" s="291"/>
      <c r="J558" s="284"/>
      <c r="K558" s="292"/>
      <c r="L558" s="4"/>
      <c r="M558" s="4"/>
      <c r="N558" s="293"/>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row>
    <row r="559" spans="1:48">
      <c r="A559" s="288"/>
      <c r="B559" s="289"/>
      <c r="C559" s="288"/>
      <c r="D559" s="4"/>
      <c r="E559" s="4"/>
      <c r="G559" s="290"/>
      <c r="H559" s="4"/>
      <c r="I559" s="291"/>
      <c r="J559" s="284"/>
      <c r="K559" s="292"/>
      <c r="L559" s="4"/>
      <c r="M559" s="4"/>
      <c r="N559" s="293"/>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row>
    <row r="560" spans="1:48">
      <c r="A560" s="288"/>
      <c r="B560" s="289"/>
      <c r="C560" s="288"/>
      <c r="D560" s="4"/>
      <c r="E560" s="4"/>
      <c r="G560" s="290"/>
      <c r="H560" s="4"/>
      <c r="I560" s="291"/>
      <c r="J560" s="284"/>
      <c r="K560" s="292"/>
      <c r="L560" s="4"/>
      <c r="M560" s="4"/>
      <c r="N560" s="293"/>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row>
    <row r="561" spans="1:48">
      <c r="A561" s="288"/>
      <c r="B561" s="289"/>
      <c r="C561" s="288"/>
      <c r="D561" s="4"/>
      <c r="E561" s="4"/>
      <c r="G561" s="290"/>
      <c r="H561" s="4"/>
      <c r="I561" s="291"/>
      <c r="J561" s="284"/>
      <c r="K561" s="292"/>
      <c r="L561" s="4"/>
      <c r="M561" s="4"/>
      <c r="N561" s="293"/>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row>
    <row r="562" spans="1:48">
      <c r="A562" s="288"/>
      <c r="B562" s="289"/>
      <c r="C562" s="288"/>
      <c r="D562" s="4"/>
      <c r="E562" s="4"/>
      <c r="G562" s="290"/>
      <c r="H562" s="4"/>
      <c r="I562" s="291"/>
      <c r="J562" s="284"/>
      <c r="K562" s="292"/>
      <c r="L562" s="4"/>
      <c r="M562" s="4"/>
      <c r="N562" s="293"/>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row>
    <row r="563" spans="1:48">
      <c r="A563" s="288"/>
      <c r="B563" s="289"/>
      <c r="C563" s="288"/>
      <c r="D563" s="4"/>
      <c r="E563" s="4"/>
      <c r="G563" s="290"/>
      <c r="H563" s="4"/>
      <c r="I563" s="291"/>
      <c r="J563" s="284"/>
      <c r="K563" s="292"/>
      <c r="L563" s="4"/>
      <c r="M563" s="4"/>
      <c r="N563" s="293"/>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row>
    <row r="564" spans="1:48">
      <c r="A564" s="288"/>
      <c r="B564" s="289"/>
      <c r="C564" s="288"/>
      <c r="D564" s="4"/>
      <c r="E564" s="4"/>
      <c r="G564" s="290"/>
      <c r="H564" s="4"/>
      <c r="I564" s="291"/>
      <c r="J564" s="284"/>
      <c r="K564" s="292"/>
      <c r="L564" s="4"/>
      <c r="M564" s="4"/>
      <c r="N564" s="293"/>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row>
    <row r="565" spans="1:48">
      <c r="A565" s="288"/>
      <c r="B565" s="289"/>
      <c r="C565" s="288"/>
      <c r="D565" s="4"/>
      <c r="E565" s="4"/>
      <c r="G565" s="290"/>
      <c r="H565" s="4"/>
      <c r="I565" s="291"/>
      <c r="J565" s="284"/>
      <c r="K565" s="292"/>
      <c r="L565" s="4"/>
      <c r="M565" s="4"/>
      <c r="N565" s="293"/>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row>
    <row r="566" spans="1:48">
      <c r="A566" s="288"/>
      <c r="B566" s="289"/>
      <c r="C566" s="288"/>
      <c r="D566" s="4"/>
      <c r="E566" s="4"/>
      <c r="G566" s="290"/>
      <c r="H566" s="4"/>
      <c r="I566" s="291"/>
      <c r="J566" s="284"/>
      <c r="K566" s="292"/>
      <c r="L566" s="4"/>
      <c r="M566" s="4"/>
      <c r="N566" s="293"/>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row>
    <row r="567" spans="1:48">
      <c r="A567" s="288"/>
      <c r="B567" s="289"/>
      <c r="C567" s="288"/>
      <c r="D567" s="4"/>
      <c r="E567" s="4"/>
      <c r="G567" s="290"/>
      <c r="H567" s="4"/>
      <c r="I567" s="291"/>
      <c r="J567" s="284"/>
      <c r="K567" s="292"/>
      <c r="L567" s="4"/>
      <c r="M567" s="4"/>
      <c r="N567" s="293"/>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row>
    <row r="568" spans="1:48">
      <c r="A568" s="288"/>
      <c r="B568" s="289"/>
      <c r="C568" s="288"/>
      <c r="D568" s="4"/>
      <c r="E568" s="4"/>
      <c r="G568" s="290"/>
      <c r="H568" s="4"/>
      <c r="I568" s="291"/>
      <c r="J568" s="284"/>
      <c r="K568" s="292"/>
      <c r="L568" s="4"/>
      <c r="M568" s="4"/>
      <c r="N568" s="293"/>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row>
    <row r="569" spans="1:48">
      <c r="A569" s="288"/>
      <c r="B569" s="289"/>
      <c r="C569" s="288"/>
      <c r="D569" s="4"/>
      <c r="E569" s="4"/>
      <c r="G569" s="290"/>
      <c r="H569" s="4"/>
      <c r="I569" s="291"/>
      <c r="J569" s="284"/>
      <c r="K569" s="292"/>
      <c r="L569" s="4"/>
      <c r="M569" s="4"/>
      <c r="N569" s="293"/>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row>
    <row r="570" spans="1:48">
      <c r="A570" s="288"/>
      <c r="B570" s="289"/>
      <c r="C570" s="288"/>
      <c r="D570" s="4"/>
      <c r="E570" s="4"/>
      <c r="G570" s="290"/>
      <c r="H570" s="4"/>
      <c r="I570" s="291"/>
      <c r="J570" s="284"/>
      <c r="K570" s="292"/>
      <c r="L570" s="4"/>
      <c r="M570" s="4"/>
      <c r="N570" s="293"/>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row>
    <row r="571" spans="1:48">
      <c r="A571" s="288"/>
      <c r="B571" s="289"/>
      <c r="C571" s="288"/>
      <c r="D571" s="4"/>
      <c r="E571" s="4"/>
      <c r="G571" s="290"/>
      <c r="H571" s="4"/>
      <c r="I571" s="291"/>
      <c r="J571" s="284"/>
      <c r="K571" s="292"/>
      <c r="L571" s="4"/>
      <c r="M571" s="4"/>
      <c r="N571" s="293"/>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row>
    <row r="572" spans="1:48">
      <c r="A572" s="288"/>
      <c r="B572" s="289"/>
      <c r="C572" s="288"/>
      <c r="D572" s="4"/>
      <c r="E572" s="4"/>
      <c r="G572" s="290"/>
      <c r="H572" s="4"/>
      <c r="I572" s="291"/>
      <c r="J572" s="284"/>
      <c r="K572" s="292"/>
      <c r="L572" s="4"/>
      <c r="M572" s="4"/>
      <c r="N572" s="293"/>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row>
    <row r="573" spans="1:48">
      <c r="A573" s="288"/>
      <c r="B573" s="289"/>
      <c r="C573" s="288"/>
      <c r="D573" s="4"/>
      <c r="E573" s="4"/>
      <c r="G573" s="290"/>
      <c r="H573" s="4"/>
      <c r="I573" s="291"/>
      <c r="J573" s="284"/>
      <c r="K573" s="292"/>
      <c r="L573" s="4"/>
      <c r="M573" s="4"/>
      <c r="N573" s="293"/>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row>
    <row r="574" spans="1:48">
      <c r="A574" s="288"/>
      <c r="B574" s="289"/>
      <c r="C574" s="288"/>
      <c r="D574" s="4"/>
      <c r="E574" s="4"/>
      <c r="G574" s="290"/>
      <c r="H574" s="4"/>
      <c r="I574" s="291"/>
      <c r="J574" s="284"/>
      <c r="K574" s="292"/>
      <c r="L574" s="4"/>
      <c r="M574" s="4"/>
      <c r="N574" s="293"/>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row>
    <row r="575" spans="1:48">
      <c r="A575" s="288"/>
      <c r="B575" s="289"/>
      <c r="C575" s="288"/>
      <c r="D575" s="4"/>
      <c r="E575" s="4"/>
      <c r="G575" s="290"/>
      <c r="H575" s="4"/>
      <c r="I575" s="291"/>
      <c r="J575" s="284"/>
      <c r="K575" s="292"/>
      <c r="L575" s="4"/>
      <c r="M575" s="4"/>
      <c r="N575" s="293"/>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row>
    <row r="576" spans="1:48">
      <c r="A576" s="288"/>
      <c r="B576" s="289"/>
      <c r="C576" s="288"/>
      <c r="D576" s="4"/>
      <c r="E576" s="4"/>
      <c r="G576" s="290"/>
      <c r="H576" s="4"/>
      <c r="I576" s="291"/>
      <c r="J576" s="284"/>
      <c r="K576" s="292"/>
      <c r="L576" s="4"/>
      <c r="M576" s="4"/>
      <c r="N576" s="293"/>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row>
    <row r="577" spans="1:48">
      <c r="A577" s="288"/>
      <c r="B577" s="289"/>
      <c r="C577" s="288"/>
      <c r="D577" s="4"/>
      <c r="E577" s="4"/>
      <c r="G577" s="290"/>
      <c r="H577" s="4"/>
      <c r="I577" s="291"/>
      <c r="J577" s="284"/>
      <c r="K577" s="292"/>
      <c r="L577" s="4"/>
      <c r="M577" s="4"/>
      <c r="N577" s="293"/>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row>
    <row r="578" spans="1:48">
      <c r="A578" s="288"/>
      <c r="B578" s="289"/>
      <c r="C578" s="288"/>
      <c r="D578" s="4"/>
      <c r="E578" s="4"/>
      <c r="G578" s="290"/>
      <c r="H578" s="4"/>
      <c r="I578" s="291"/>
      <c r="J578" s="284"/>
      <c r="K578" s="292"/>
      <c r="L578" s="4"/>
      <c r="M578" s="4"/>
      <c r="N578" s="293"/>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row>
    <row r="579" spans="1:48">
      <c r="A579" s="288"/>
      <c r="B579" s="289"/>
      <c r="C579" s="288"/>
      <c r="D579" s="4"/>
      <c r="E579" s="4"/>
      <c r="G579" s="290"/>
      <c r="H579" s="4"/>
      <c r="I579" s="291"/>
      <c r="J579" s="284"/>
      <c r="K579" s="292"/>
      <c r="L579" s="4"/>
      <c r="M579" s="4"/>
      <c r="N579" s="293"/>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row>
    <row r="580" spans="1:48">
      <c r="A580" s="288"/>
      <c r="B580" s="289"/>
      <c r="C580" s="288"/>
      <c r="D580" s="4"/>
      <c r="E580" s="4"/>
      <c r="G580" s="290"/>
      <c r="H580" s="4"/>
      <c r="I580" s="291"/>
      <c r="J580" s="284"/>
      <c r="K580" s="292"/>
      <c r="L580" s="4"/>
      <c r="M580" s="4"/>
      <c r="N580" s="293"/>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row>
    <row r="581" spans="1:48">
      <c r="A581" s="288"/>
      <c r="B581" s="289"/>
      <c r="C581" s="288"/>
      <c r="D581" s="4"/>
      <c r="E581" s="4"/>
      <c r="G581" s="290"/>
      <c r="H581" s="4"/>
      <c r="I581" s="291"/>
      <c r="J581" s="284"/>
      <c r="K581" s="292"/>
      <c r="L581" s="4"/>
      <c r="M581" s="4"/>
      <c r="N581" s="293"/>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row>
    <row r="582" spans="1:48">
      <c r="A582" s="288"/>
      <c r="B582" s="289"/>
      <c r="C582" s="288"/>
      <c r="D582" s="4"/>
      <c r="E582" s="4"/>
      <c r="G582" s="290"/>
      <c r="H582" s="4"/>
      <c r="I582" s="291"/>
      <c r="J582" s="284"/>
      <c r="K582" s="292"/>
      <c r="L582" s="4"/>
      <c r="M582" s="4"/>
      <c r="N582" s="293"/>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row>
    <row r="583" spans="1:48">
      <c r="A583" s="288"/>
      <c r="B583" s="289"/>
      <c r="C583" s="288"/>
      <c r="D583" s="4"/>
      <c r="E583" s="4"/>
      <c r="G583" s="290"/>
      <c r="H583" s="4"/>
      <c r="I583" s="291"/>
      <c r="J583" s="284"/>
      <c r="K583" s="292"/>
      <c r="L583" s="4"/>
      <c r="M583" s="4"/>
      <c r="N583" s="293"/>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row>
    <row r="584" spans="1:48">
      <c r="A584" s="288"/>
      <c r="B584" s="289"/>
      <c r="C584" s="288"/>
      <c r="D584" s="4"/>
      <c r="E584" s="4"/>
      <c r="G584" s="290"/>
      <c r="H584" s="4"/>
      <c r="I584" s="291"/>
      <c r="J584" s="284"/>
      <c r="K584" s="292"/>
      <c r="L584" s="4"/>
      <c r="M584" s="4"/>
      <c r="N584" s="293"/>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row>
    <row r="585" spans="1:48">
      <c r="A585" s="288"/>
      <c r="B585" s="289"/>
      <c r="C585" s="288"/>
      <c r="D585" s="4"/>
      <c r="E585" s="4"/>
      <c r="G585" s="290"/>
      <c r="H585" s="4"/>
      <c r="I585" s="291"/>
      <c r="J585" s="284"/>
      <c r="K585" s="292"/>
      <c r="L585" s="4"/>
      <c r="M585" s="4"/>
      <c r="N585" s="293"/>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row>
    <row r="586" spans="1:48">
      <c r="A586" s="288"/>
      <c r="B586" s="289"/>
      <c r="C586" s="288"/>
      <c r="D586" s="4"/>
      <c r="E586" s="4"/>
      <c r="G586" s="290"/>
      <c r="H586" s="4"/>
      <c r="I586" s="291"/>
      <c r="J586" s="284"/>
      <c r="K586" s="292"/>
      <c r="L586" s="4"/>
      <c r="M586" s="4"/>
      <c r="N586" s="293"/>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row>
    <row r="587" spans="1:48">
      <c r="A587" s="288"/>
      <c r="B587" s="289"/>
      <c r="C587" s="288"/>
      <c r="D587" s="4"/>
      <c r="E587" s="4"/>
      <c r="G587" s="290"/>
      <c r="H587" s="4"/>
      <c r="I587" s="291"/>
      <c r="J587" s="284"/>
      <c r="K587" s="292"/>
      <c r="L587" s="4"/>
      <c r="M587" s="4"/>
      <c r="N587" s="293"/>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row>
    <row r="588" spans="1:48">
      <c r="A588" s="288"/>
      <c r="B588" s="289"/>
      <c r="C588" s="288"/>
      <c r="D588" s="4"/>
      <c r="E588" s="4"/>
      <c r="G588" s="290"/>
      <c r="H588" s="4"/>
      <c r="I588" s="291"/>
      <c r="J588" s="284"/>
      <c r="K588" s="292"/>
      <c r="L588" s="4"/>
      <c r="M588" s="4"/>
      <c r="N588" s="293"/>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row>
    <row r="589" spans="1:48">
      <c r="A589" s="288"/>
      <c r="B589" s="289"/>
      <c r="C589" s="288"/>
      <c r="D589" s="4"/>
      <c r="E589" s="4"/>
      <c r="G589" s="290"/>
      <c r="H589" s="4"/>
      <c r="I589" s="291"/>
      <c r="J589" s="284"/>
      <c r="K589" s="292"/>
      <c r="L589" s="4"/>
      <c r="M589" s="4"/>
      <c r="N589" s="293"/>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row>
    <row r="590" spans="1:48">
      <c r="A590" s="288"/>
      <c r="B590" s="289"/>
      <c r="C590" s="288"/>
      <c r="D590" s="4"/>
      <c r="E590" s="4"/>
      <c r="G590" s="290"/>
      <c r="H590" s="4"/>
      <c r="I590" s="291"/>
      <c r="J590" s="284"/>
      <c r="K590" s="292"/>
      <c r="L590" s="4"/>
      <c r="M590" s="4"/>
      <c r="N590" s="293"/>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row>
    <row r="591" spans="1:48">
      <c r="A591" s="288"/>
      <c r="B591" s="289"/>
      <c r="C591" s="288"/>
      <c r="D591" s="4"/>
      <c r="E591" s="4"/>
      <c r="G591" s="290"/>
      <c r="H591" s="4"/>
      <c r="I591" s="291"/>
      <c r="J591" s="284"/>
      <c r="K591" s="292"/>
      <c r="L591" s="4"/>
      <c r="M591" s="4"/>
      <c r="N591" s="293"/>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row>
    <row r="592" spans="1:48">
      <c r="A592" s="288"/>
      <c r="B592" s="289"/>
      <c r="C592" s="288"/>
      <c r="D592" s="4"/>
      <c r="E592" s="4"/>
      <c r="G592" s="290"/>
      <c r="H592" s="4"/>
      <c r="I592" s="291"/>
      <c r="J592" s="284"/>
      <c r="K592" s="292"/>
      <c r="L592" s="4"/>
      <c r="M592" s="4"/>
      <c r="N592" s="293"/>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row>
    <row r="593" spans="1:48">
      <c r="A593" s="288"/>
      <c r="B593" s="289"/>
      <c r="C593" s="288"/>
      <c r="D593" s="4"/>
      <c r="E593" s="4"/>
      <c r="G593" s="290"/>
      <c r="H593" s="4"/>
      <c r="I593" s="291"/>
      <c r="J593" s="284"/>
      <c r="K593" s="292"/>
      <c r="L593" s="4"/>
      <c r="M593" s="4"/>
      <c r="N593" s="293"/>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row>
    <row r="594" spans="1:48">
      <c r="A594" s="288"/>
      <c r="B594" s="289"/>
      <c r="C594" s="288"/>
      <c r="D594" s="4"/>
      <c r="E594" s="4"/>
      <c r="G594" s="290"/>
      <c r="H594" s="4"/>
      <c r="I594" s="291"/>
      <c r="J594" s="284"/>
      <c r="K594" s="292"/>
      <c r="L594" s="4"/>
      <c r="M594" s="4"/>
      <c r="N594" s="293"/>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row>
    <row r="595" spans="1:48">
      <c r="A595" s="288"/>
      <c r="B595" s="289"/>
      <c r="C595" s="288"/>
      <c r="D595" s="4"/>
      <c r="E595" s="4"/>
      <c r="G595" s="290"/>
      <c r="H595" s="4"/>
      <c r="I595" s="291"/>
      <c r="J595" s="284"/>
      <c r="K595" s="292"/>
      <c r="L595" s="4"/>
      <c r="M595" s="4"/>
      <c r="N595" s="293"/>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row>
    <row r="596" spans="1:48">
      <c r="A596" s="288"/>
      <c r="B596" s="289"/>
      <c r="C596" s="288"/>
      <c r="D596" s="4"/>
      <c r="E596" s="4"/>
      <c r="G596" s="290"/>
      <c r="H596" s="4"/>
      <c r="I596" s="291"/>
      <c r="J596" s="284"/>
      <c r="K596" s="292"/>
      <c r="L596" s="4"/>
      <c r="M596" s="4"/>
      <c r="N596" s="293"/>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row>
    <row r="597" spans="1:48">
      <c r="A597" s="288"/>
      <c r="B597" s="289"/>
      <c r="C597" s="288"/>
      <c r="D597" s="4"/>
      <c r="E597" s="4"/>
      <c r="G597" s="290"/>
      <c r="H597" s="4"/>
      <c r="I597" s="291"/>
      <c r="J597" s="284"/>
      <c r="K597" s="292"/>
      <c r="L597" s="4"/>
      <c r="M597" s="4"/>
      <c r="N597" s="293"/>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row>
    <row r="598" spans="1:48">
      <c r="A598" s="288"/>
      <c r="B598" s="289"/>
      <c r="C598" s="288"/>
      <c r="D598" s="4"/>
      <c r="E598" s="4"/>
      <c r="G598" s="290"/>
      <c r="H598" s="4"/>
      <c r="I598" s="291"/>
      <c r="J598" s="284"/>
      <c r="K598" s="292"/>
      <c r="L598" s="4"/>
      <c r="M598" s="4"/>
      <c r="N598" s="293"/>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row>
    <row r="599" spans="1:48">
      <c r="A599" s="288"/>
      <c r="B599" s="289"/>
      <c r="C599" s="288"/>
      <c r="D599" s="4"/>
      <c r="E599" s="4"/>
      <c r="G599" s="290"/>
      <c r="H599" s="4"/>
      <c r="I599" s="291"/>
      <c r="J599" s="284"/>
      <c r="K599" s="292"/>
      <c r="L599" s="4"/>
      <c r="M599" s="4"/>
      <c r="N599" s="293"/>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row>
    <row r="600" spans="1:48">
      <c r="A600" s="288"/>
      <c r="B600" s="289"/>
      <c r="C600" s="288"/>
      <c r="D600" s="4"/>
      <c r="E600" s="4"/>
      <c r="G600" s="290"/>
      <c r="H600" s="4"/>
      <c r="I600" s="291"/>
      <c r="J600" s="284"/>
      <c r="K600" s="292"/>
      <c r="L600" s="4"/>
      <c r="M600" s="4"/>
      <c r="N600" s="293"/>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row>
    <row r="601" spans="1:48">
      <c r="A601" s="288"/>
      <c r="B601" s="289"/>
      <c r="C601" s="288"/>
      <c r="D601" s="4"/>
      <c r="E601" s="4"/>
      <c r="G601" s="290"/>
      <c r="H601" s="4"/>
      <c r="I601" s="291"/>
      <c r="J601" s="284"/>
      <c r="K601" s="292"/>
      <c r="L601" s="4"/>
      <c r="M601" s="4"/>
      <c r="N601" s="293"/>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row>
    <row r="602" spans="1:48">
      <c r="A602" s="288"/>
      <c r="B602" s="289"/>
      <c r="C602" s="288"/>
      <c r="D602" s="4"/>
      <c r="E602" s="4"/>
      <c r="G602" s="290"/>
      <c r="H602" s="4"/>
      <c r="I602" s="291"/>
      <c r="J602" s="284"/>
      <c r="K602" s="292"/>
      <c r="L602" s="4"/>
      <c r="M602" s="4"/>
      <c r="N602" s="293"/>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row>
    <row r="603" spans="1:48">
      <c r="A603" s="288"/>
      <c r="B603" s="289"/>
      <c r="C603" s="288"/>
      <c r="D603" s="4"/>
      <c r="E603" s="4"/>
      <c r="G603" s="290"/>
      <c r="H603" s="4"/>
      <c r="I603" s="291"/>
      <c r="J603" s="284"/>
      <c r="K603" s="292"/>
      <c r="L603" s="4"/>
      <c r="M603" s="4"/>
      <c r="N603" s="293"/>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row>
    <row r="604" spans="1:48">
      <c r="A604" s="288"/>
      <c r="B604" s="289"/>
      <c r="C604" s="288"/>
      <c r="D604" s="4"/>
      <c r="E604" s="4"/>
      <c r="G604" s="290"/>
      <c r="H604" s="4"/>
      <c r="I604" s="291"/>
      <c r="J604" s="284"/>
      <c r="K604" s="292"/>
      <c r="L604" s="4"/>
      <c r="M604" s="4"/>
      <c r="N604" s="293"/>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row>
    <row r="605" spans="1:48">
      <c r="A605" s="288"/>
      <c r="B605" s="289"/>
      <c r="C605" s="288"/>
      <c r="D605" s="4"/>
      <c r="E605" s="4"/>
      <c r="G605" s="290"/>
      <c r="H605" s="4"/>
      <c r="I605" s="291"/>
      <c r="J605" s="284"/>
      <c r="K605" s="292"/>
      <c r="L605" s="4"/>
      <c r="M605" s="4"/>
      <c r="N605" s="293"/>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row>
    <row r="606" spans="1:48">
      <c r="A606" s="288"/>
      <c r="B606" s="289"/>
      <c r="C606" s="288"/>
      <c r="D606" s="4"/>
      <c r="E606" s="4"/>
      <c r="G606" s="290"/>
      <c r="H606" s="4"/>
      <c r="I606" s="291"/>
      <c r="J606" s="284"/>
      <c r="K606" s="292"/>
      <c r="L606" s="4"/>
      <c r="M606" s="4"/>
      <c r="N606" s="293"/>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row>
    <row r="607" spans="1:48">
      <c r="A607" s="288"/>
      <c r="B607" s="289"/>
      <c r="C607" s="288"/>
      <c r="D607" s="4"/>
      <c r="E607" s="4"/>
      <c r="G607" s="290"/>
      <c r="H607" s="4"/>
      <c r="I607" s="291"/>
      <c r="J607" s="284"/>
      <c r="K607" s="292"/>
      <c r="L607" s="4"/>
      <c r="M607" s="4"/>
      <c r="N607" s="293"/>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row>
    <row r="608" spans="1:48">
      <c r="A608" s="288"/>
      <c r="B608" s="289"/>
      <c r="C608" s="288"/>
      <c r="D608" s="4"/>
      <c r="E608" s="4"/>
      <c r="G608" s="290"/>
      <c r="H608" s="4"/>
      <c r="I608" s="291"/>
      <c r="J608" s="284"/>
      <c r="K608" s="292"/>
      <c r="L608" s="4"/>
      <c r="M608" s="4"/>
      <c r="N608" s="293"/>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row>
    <row r="609" spans="1:48">
      <c r="A609" s="288"/>
      <c r="B609" s="289"/>
      <c r="C609" s="288"/>
      <c r="D609" s="4"/>
      <c r="E609" s="4"/>
      <c r="G609" s="290"/>
      <c r="H609" s="4"/>
      <c r="I609" s="291"/>
      <c r="J609" s="284"/>
      <c r="K609" s="292"/>
      <c r="L609" s="4"/>
      <c r="M609" s="4"/>
      <c r="N609" s="293"/>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row>
    <row r="610" spans="1:48">
      <c r="A610" s="288"/>
      <c r="B610" s="289"/>
      <c r="C610" s="288"/>
      <c r="D610" s="4"/>
      <c r="E610" s="4"/>
      <c r="G610" s="290"/>
      <c r="H610" s="4"/>
      <c r="I610" s="291"/>
      <c r="J610" s="284"/>
      <c r="K610" s="292"/>
      <c r="L610" s="4"/>
      <c r="M610" s="4"/>
      <c r="N610" s="293"/>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row>
    <row r="611" spans="1:48">
      <c r="A611" s="288"/>
      <c r="B611" s="289"/>
      <c r="C611" s="288"/>
      <c r="D611" s="4"/>
      <c r="E611" s="4"/>
      <c r="G611" s="290"/>
      <c r="H611" s="4"/>
      <c r="I611" s="291"/>
      <c r="J611" s="284"/>
      <c r="K611" s="292"/>
      <c r="L611" s="4"/>
      <c r="M611" s="4"/>
      <c r="N611" s="293"/>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row>
    <row r="612" spans="1:48">
      <c r="A612" s="288"/>
      <c r="B612" s="289"/>
      <c r="C612" s="288"/>
      <c r="D612" s="4"/>
      <c r="E612" s="4"/>
      <c r="G612" s="290"/>
      <c r="H612" s="4"/>
      <c r="I612" s="291"/>
      <c r="J612" s="284"/>
      <c r="K612" s="292"/>
      <c r="L612" s="4"/>
      <c r="M612" s="4"/>
      <c r="N612" s="293"/>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row>
    <row r="613" spans="1:48">
      <c r="A613" s="288"/>
      <c r="B613" s="289"/>
      <c r="C613" s="288"/>
      <c r="D613" s="4"/>
      <c r="E613" s="4"/>
      <c r="G613" s="290"/>
      <c r="H613" s="4"/>
      <c r="I613" s="291"/>
      <c r="J613" s="284"/>
      <c r="K613" s="292"/>
      <c r="L613" s="4"/>
      <c r="M613" s="4"/>
      <c r="N613" s="293"/>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row>
    <row r="614" spans="1:48">
      <c r="A614" s="288"/>
      <c r="B614" s="289"/>
      <c r="C614" s="288"/>
      <c r="D614" s="4"/>
      <c r="E614" s="4"/>
      <c r="G614" s="290"/>
      <c r="H614" s="4"/>
      <c r="I614" s="291"/>
      <c r="J614" s="284"/>
      <c r="K614" s="292"/>
      <c r="L614" s="4"/>
      <c r="M614" s="4"/>
      <c r="N614" s="293"/>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row>
    <row r="615" spans="1:48">
      <c r="A615" s="288"/>
      <c r="B615" s="289"/>
      <c r="C615" s="288"/>
      <c r="D615" s="4"/>
      <c r="E615" s="4"/>
      <c r="G615" s="290"/>
      <c r="H615" s="4"/>
      <c r="I615" s="291"/>
      <c r="J615" s="284"/>
      <c r="K615" s="292"/>
      <c r="L615" s="4"/>
      <c r="M615" s="4"/>
      <c r="N615" s="293"/>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row>
    <row r="616" spans="1:48">
      <c r="A616" s="288"/>
      <c r="B616" s="289"/>
      <c r="C616" s="288"/>
      <c r="D616" s="4"/>
      <c r="E616" s="4"/>
      <c r="G616" s="290"/>
      <c r="H616" s="4"/>
      <c r="I616" s="291"/>
      <c r="J616" s="284"/>
      <c r="K616" s="292"/>
      <c r="L616" s="4"/>
      <c r="M616" s="4"/>
      <c r="N616" s="293"/>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row>
    <row r="617" spans="1:48">
      <c r="A617" s="288"/>
      <c r="B617" s="289"/>
      <c r="C617" s="288"/>
      <c r="D617" s="4"/>
      <c r="E617" s="4"/>
      <c r="G617" s="290"/>
      <c r="H617" s="4"/>
      <c r="I617" s="291"/>
      <c r="J617" s="284"/>
      <c r="K617" s="292"/>
      <c r="L617" s="4"/>
      <c r="M617" s="4"/>
      <c r="N617" s="293"/>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row>
    <row r="618" spans="1:48">
      <c r="A618" s="288"/>
      <c r="B618" s="289"/>
      <c r="C618" s="288"/>
      <c r="D618" s="4"/>
      <c r="E618" s="4"/>
      <c r="G618" s="290"/>
      <c r="H618" s="4"/>
      <c r="I618" s="291"/>
      <c r="J618" s="284"/>
      <c r="K618" s="292"/>
      <c r="L618" s="4"/>
      <c r="M618" s="4"/>
      <c r="N618" s="293"/>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row>
    <row r="619" spans="1:48">
      <c r="A619" s="288"/>
      <c r="B619" s="289"/>
      <c r="C619" s="288"/>
      <c r="D619" s="4"/>
      <c r="E619" s="4"/>
      <c r="G619" s="290"/>
      <c r="H619" s="4"/>
      <c r="I619" s="291"/>
      <c r="J619" s="284"/>
      <c r="K619" s="292"/>
      <c r="L619" s="4"/>
      <c r="M619" s="4"/>
      <c r="N619" s="293"/>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row>
    <row r="620" spans="1:48">
      <c r="A620" s="288"/>
      <c r="B620" s="289"/>
      <c r="C620" s="288"/>
      <c r="D620" s="4"/>
      <c r="E620" s="4"/>
      <c r="G620" s="290"/>
      <c r="H620" s="4"/>
      <c r="I620" s="291"/>
      <c r="J620" s="284"/>
      <c r="K620" s="292"/>
      <c r="L620" s="4"/>
      <c r="M620" s="4"/>
      <c r="N620" s="293"/>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row>
    <row r="621" spans="1:48">
      <c r="A621" s="288"/>
      <c r="B621" s="289"/>
      <c r="C621" s="288"/>
      <c r="D621" s="4"/>
      <c r="E621" s="4"/>
      <c r="G621" s="290"/>
      <c r="H621" s="4"/>
      <c r="I621" s="291"/>
      <c r="J621" s="284"/>
      <c r="K621" s="292"/>
      <c r="L621" s="4"/>
      <c r="M621" s="4"/>
      <c r="N621" s="293"/>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row>
    <row r="622" spans="1:48">
      <c r="A622" s="288"/>
      <c r="B622" s="289"/>
      <c r="C622" s="288"/>
      <c r="D622" s="4"/>
      <c r="E622" s="4"/>
      <c r="G622" s="290"/>
      <c r="H622" s="4"/>
      <c r="I622" s="291"/>
      <c r="J622" s="284"/>
      <c r="K622" s="292"/>
      <c r="L622" s="4"/>
      <c r="M622" s="4"/>
      <c r="N622" s="293"/>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row>
    <row r="623" spans="1:48">
      <c r="A623" s="288"/>
      <c r="B623" s="289"/>
      <c r="C623" s="288"/>
      <c r="D623" s="4"/>
      <c r="E623" s="4"/>
      <c r="G623" s="290"/>
      <c r="H623" s="4"/>
      <c r="I623" s="291"/>
      <c r="J623" s="284"/>
      <c r="K623" s="292"/>
      <c r="L623" s="4"/>
      <c r="M623" s="4"/>
      <c r="N623" s="293"/>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row>
    <row r="624" spans="1:48">
      <c r="A624" s="288"/>
      <c r="B624" s="289"/>
      <c r="C624" s="288"/>
      <c r="D624" s="4"/>
      <c r="E624" s="4"/>
      <c r="G624" s="290"/>
      <c r="H624" s="4"/>
      <c r="I624" s="291"/>
      <c r="J624" s="284"/>
      <c r="K624" s="292"/>
      <c r="L624" s="4"/>
      <c r="M624" s="4"/>
      <c r="N624" s="293"/>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row>
    <row r="625" spans="1:48">
      <c r="A625" s="288"/>
      <c r="B625" s="289"/>
      <c r="C625" s="288"/>
      <c r="D625" s="4"/>
      <c r="E625" s="4"/>
      <c r="G625" s="290"/>
      <c r="H625" s="4"/>
      <c r="I625" s="291"/>
      <c r="J625" s="284"/>
      <c r="K625" s="292"/>
      <c r="L625" s="4"/>
      <c r="M625" s="4"/>
      <c r="N625" s="293"/>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row>
    <row r="626" spans="1:48">
      <c r="A626" s="288"/>
      <c r="B626" s="289"/>
      <c r="C626" s="288"/>
      <c r="D626" s="4"/>
      <c r="E626" s="4"/>
      <c r="G626" s="290"/>
      <c r="H626" s="4"/>
      <c r="I626" s="291"/>
      <c r="J626" s="284"/>
      <c r="K626" s="292"/>
      <c r="L626" s="4"/>
      <c r="M626" s="4"/>
      <c r="N626" s="293"/>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row>
    <row r="627" spans="1:48">
      <c r="A627" s="288"/>
      <c r="B627" s="289"/>
      <c r="C627" s="288"/>
      <c r="D627" s="4"/>
      <c r="E627" s="4"/>
      <c r="G627" s="290"/>
      <c r="H627" s="4"/>
      <c r="I627" s="291"/>
      <c r="J627" s="284"/>
      <c r="K627" s="292"/>
      <c r="L627" s="4"/>
      <c r="M627" s="4"/>
      <c r="N627" s="293"/>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row>
    <row r="628" spans="1:48">
      <c r="A628" s="288"/>
      <c r="B628" s="289"/>
      <c r="C628" s="288"/>
      <c r="D628" s="4"/>
      <c r="E628" s="4"/>
      <c r="G628" s="290"/>
      <c r="H628" s="4"/>
      <c r="I628" s="291"/>
      <c r="J628" s="284"/>
      <c r="K628" s="292"/>
      <c r="L628" s="4"/>
      <c r="M628" s="4"/>
      <c r="N628" s="293"/>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row>
    <row r="629" spans="1:48">
      <c r="A629" s="288"/>
      <c r="B629" s="289"/>
      <c r="C629" s="288"/>
      <c r="D629" s="4"/>
      <c r="E629" s="4"/>
      <c r="G629" s="290"/>
      <c r="H629" s="4"/>
      <c r="I629" s="291"/>
      <c r="J629" s="284"/>
      <c r="K629" s="292"/>
      <c r="L629" s="4"/>
      <c r="M629" s="4"/>
      <c r="N629" s="293"/>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row>
    <row r="630" spans="1:48">
      <c r="A630" s="288"/>
      <c r="B630" s="289"/>
      <c r="C630" s="288"/>
      <c r="D630" s="4"/>
      <c r="E630" s="4"/>
      <c r="G630" s="290"/>
      <c r="H630" s="4"/>
      <c r="I630" s="291"/>
      <c r="J630" s="284"/>
      <c r="K630" s="292"/>
      <c r="L630" s="4"/>
      <c r="M630" s="4"/>
      <c r="N630" s="293"/>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row>
    <row r="631" spans="1:48">
      <c r="A631" s="288"/>
      <c r="B631" s="289"/>
      <c r="C631" s="288"/>
      <c r="D631" s="4"/>
      <c r="E631" s="4"/>
      <c r="G631" s="290"/>
      <c r="H631" s="4"/>
      <c r="I631" s="291"/>
      <c r="J631" s="284"/>
      <c r="K631" s="292"/>
      <c r="L631" s="4"/>
      <c r="M631" s="4"/>
      <c r="N631" s="293"/>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row>
    <row r="632" spans="1:48">
      <c r="A632" s="288"/>
      <c r="B632" s="289"/>
      <c r="C632" s="288"/>
      <c r="D632" s="4"/>
      <c r="E632" s="4"/>
      <c r="G632" s="290"/>
      <c r="H632" s="4"/>
      <c r="I632" s="291"/>
      <c r="J632" s="284"/>
      <c r="K632" s="292"/>
      <c r="L632" s="4"/>
      <c r="M632" s="4"/>
      <c r="N632" s="293"/>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row>
    <row r="633" spans="1:48">
      <c r="A633" s="288"/>
      <c r="B633" s="289"/>
      <c r="C633" s="288"/>
      <c r="D633" s="4"/>
      <c r="E633" s="4"/>
      <c r="G633" s="290"/>
      <c r="H633" s="4"/>
      <c r="I633" s="291"/>
      <c r="J633" s="284"/>
      <c r="K633" s="292"/>
      <c r="L633" s="4"/>
      <c r="M633" s="4"/>
      <c r="N633" s="293"/>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row>
    <row r="634" spans="1:48">
      <c r="A634" s="288"/>
      <c r="B634" s="289"/>
      <c r="C634" s="288"/>
      <c r="D634" s="4"/>
      <c r="E634" s="4"/>
      <c r="G634" s="290"/>
      <c r="H634" s="4"/>
      <c r="I634" s="291"/>
      <c r="J634" s="284"/>
      <c r="K634" s="292"/>
      <c r="L634" s="4"/>
      <c r="M634" s="4"/>
      <c r="N634" s="293"/>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row>
    <row r="635" spans="1:48">
      <c r="A635" s="288"/>
      <c r="B635" s="289"/>
      <c r="C635" s="288"/>
      <c r="D635" s="4"/>
      <c r="E635" s="4"/>
      <c r="G635" s="290"/>
      <c r="H635" s="4"/>
      <c r="I635" s="291"/>
      <c r="J635" s="284"/>
      <c r="K635" s="292"/>
      <c r="L635" s="4"/>
      <c r="M635" s="4"/>
      <c r="N635" s="293"/>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row>
    <row r="636" spans="1:48">
      <c r="A636" s="288"/>
      <c r="B636" s="289"/>
      <c r="C636" s="288"/>
      <c r="D636" s="4"/>
      <c r="E636" s="4"/>
      <c r="G636" s="290"/>
      <c r="H636" s="4"/>
      <c r="I636" s="291"/>
      <c r="J636" s="284"/>
      <c r="K636" s="292"/>
      <c r="L636" s="4"/>
      <c r="M636" s="4"/>
      <c r="N636" s="293"/>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row>
    <row r="637" spans="1:48">
      <c r="A637" s="288"/>
      <c r="B637" s="289"/>
      <c r="C637" s="288"/>
      <c r="D637" s="4"/>
      <c r="E637" s="4"/>
      <c r="G637" s="290"/>
      <c r="H637" s="4"/>
      <c r="I637" s="291"/>
      <c r="J637" s="284"/>
      <c r="K637" s="292"/>
      <c r="L637" s="4"/>
      <c r="M637" s="4"/>
      <c r="N637" s="293"/>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row>
    <row r="638" spans="1:48">
      <c r="A638" s="288"/>
      <c r="B638" s="289"/>
      <c r="C638" s="288"/>
      <c r="D638" s="4"/>
      <c r="E638" s="4"/>
      <c r="G638" s="290"/>
      <c r="H638" s="4"/>
      <c r="I638" s="291"/>
      <c r="J638" s="284"/>
      <c r="K638" s="292"/>
      <c r="L638" s="4"/>
      <c r="M638" s="4"/>
      <c r="N638" s="293"/>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row>
    <row r="639" spans="1:48">
      <c r="A639" s="288"/>
      <c r="B639" s="289"/>
      <c r="C639" s="288"/>
      <c r="D639" s="4"/>
      <c r="E639" s="4"/>
      <c r="G639" s="290"/>
      <c r="H639" s="4"/>
      <c r="I639" s="291"/>
      <c r="J639" s="284"/>
      <c r="K639" s="292"/>
      <c r="L639" s="4"/>
      <c r="M639" s="4"/>
      <c r="N639" s="293"/>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row>
    <row r="640" spans="1:48">
      <c r="A640" s="288"/>
      <c r="B640" s="289"/>
      <c r="C640" s="288"/>
      <c r="D640" s="4"/>
      <c r="E640" s="4"/>
      <c r="G640" s="290"/>
      <c r="H640" s="4"/>
      <c r="I640" s="291"/>
      <c r="J640" s="284"/>
      <c r="K640" s="292"/>
      <c r="L640" s="4"/>
      <c r="M640" s="4"/>
      <c r="N640" s="293"/>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row>
    <row r="641" spans="1:48">
      <c r="A641" s="288"/>
      <c r="B641" s="289"/>
      <c r="C641" s="288"/>
      <c r="D641" s="4"/>
      <c r="E641" s="4"/>
      <c r="G641" s="290"/>
      <c r="H641" s="4"/>
      <c r="I641" s="291"/>
      <c r="J641" s="284"/>
      <c r="K641" s="292"/>
      <c r="L641" s="4"/>
      <c r="M641" s="4"/>
      <c r="N641" s="293"/>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row>
    <row r="642" spans="1:48">
      <c r="A642" s="288"/>
      <c r="B642" s="289"/>
      <c r="C642" s="288"/>
      <c r="D642" s="4"/>
      <c r="E642" s="4"/>
      <c r="G642" s="290"/>
      <c r="H642" s="4"/>
      <c r="I642" s="291"/>
      <c r="J642" s="284"/>
      <c r="K642" s="292"/>
      <c r="L642" s="4"/>
      <c r="M642" s="4"/>
      <c r="N642" s="293"/>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row>
    <row r="643" spans="1:48">
      <c r="A643" s="288"/>
      <c r="B643" s="289"/>
      <c r="C643" s="288"/>
      <c r="D643" s="4"/>
      <c r="E643" s="4"/>
      <c r="G643" s="290"/>
      <c r="H643" s="4"/>
      <c r="I643" s="291"/>
      <c r="J643" s="284"/>
      <c r="K643" s="292"/>
      <c r="L643" s="4"/>
      <c r="M643" s="4"/>
      <c r="N643" s="293"/>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row>
    <row r="644" spans="1:48">
      <c r="A644" s="288"/>
      <c r="B644" s="289"/>
      <c r="C644" s="288"/>
      <c r="D644" s="4"/>
      <c r="E644" s="4"/>
      <c r="G644" s="290"/>
      <c r="H644" s="4"/>
      <c r="I644" s="291"/>
      <c r="J644" s="284"/>
      <c r="K644" s="292"/>
      <c r="L644" s="4"/>
      <c r="M644" s="4"/>
      <c r="N644" s="293"/>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row>
    <row r="645" spans="1:48">
      <c r="A645" s="288"/>
      <c r="B645" s="289"/>
      <c r="C645" s="288"/>
      <c r="D645" s="4"/>
      <c r="E645" s="4"/>
      <c r="G645" s="290"/>
      <c r="H645" s="4"/>
      <c r="I645" s="291"/>
      <c r="J645" s="284"/>
      <c r="K645" s="292"/>
      <c r="L645" s="4"/>
      <c r="M645" s="4"/>
      <c r="N645" s="293"/>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row>
    <row r="646" spans="1:48">
      <c r="A646" s="288"/>
      <c r="B646" s="289"/>
      <c r="C646" s="288"/>
      <c r="D646" s="4"/>
      <c r="E646" s="4"/>
      <c r="G646" s="290"/>
      <c r="H646" s="4"/>
      <c r="I646" s="291"/>
      <c r="J646" s="284"/>
      <c r="K646" s="292"/>
      <c r="L646" s="4"/>
      <c r="M646" s="4"/>
      <c r="N646" s="293"/>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row>
    <row r="647" spans="1:48">
      <c r="A647" s="288"/>
      <c r="B647" s="289"/>
      <c r="C647" s="288"/>
      <c r="D647" s="4"/>
      <c r="E647" s="4"/>
      <c r="G647" s="290"/>
      <c r="H647" s="4"/>
      <c r="I647" s="291"/>
      <c r="J647" s="284"/>
      <c r="K647" s="292"/>
      <c r="L647" s="4"/>
      <c r="M647" s="4"/>
      <c r="N647" s="293"/>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row>
    <row r="648" spans="1:48">
      <c r="A648" s="288"/>
      <c r="B648" s="289"/>
      <c r="C648" s="288"/>
      <c r="D648" s="4"/>
      <c r="E648" s="4"/>
      <c r="G648" s="290"/>
      <c r="H648" s="4"/>
      <c r="I648" s="291"/>
      <c r="J648" s="284"/>
      <c r="K648" s="292"/>
      <c r="L648" s="4"/>
      <c r="M648" s="4"/>
      <c r="N648" s="293"/>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row>
    <row r="649" spans="1:48">
      <c r="A649" s="288"/>
      <c r="B649" s="289"/>
      <c r="C649" s="288"/>
      <c r="D649" s="4"/>
      <c r="E649" s="4"/>
      <c r="G649" s="290"/>
      <c r="H649" s="4"/>
      <c r="I649" s="291"/>
      <c r="J649" s="284"/>
      <c r="K649" s="292"/>
      <c r="L649" s="4"/>
      <c r="M649" s="4"/>
      <c r="N649" s="293"/>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row>
    <row r="650" spans="1:48">
      <c r="A650" s="288"/>
      <c r="B650" s="289"/>
      <c r="C650" s="288"/>
      <c r="D650" s="4"/>
      <c r="E650" s="4"/>
      <c r="G650" s="290"/>
      <c r="H650" s="4"/>
      <c r="I650" s="291"/>
      <c r="J650" s="284"/>
      <c r="K650" s="292"/>
      <c r="L650" s="4"/>
      <c r="M650" s="4"/>
      <c r="N650" s="293"/>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row>
    <row r="651" spans="1:48">
      <c r="A651" s="288"/>
      <c r="B651" s="289"/>
      <c r="C651" s="288"/>
      <c r="D651" s="4"/>
      <c r="E651" s="4"/>
      <c r="G651" s="290"/>
      <c r="H651" s="4"/>
      <c r="I651" s="291"/>
      <c r="J651" s="284"/>
      <c r="K651" s="292"/>
      <c r="L651" s="4"/>
      <c r="M651" s="4"/>
      <c r="N651" s="293"/>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row>
    <row r="652" spans="1:48">
      <c r="A652" s="288"/>
      <c r="B652" s="289"/>
      <c r="C652" s="288"/>
      <c r="D652" s="4"/>
      <c r="E652" s="4"/>
      <c r="G652" s="290"/>
      <c r="H652" s="4"/>
      <c r="I652" s="291"/>
      <c r="J652" s="284"/>
      <c r="K652" s="292"/>
      <c r="L652" s="4"/>
      <c r="M652" s="4"/>
      <c r="N652" s="293"/>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row>
    <row r="653" spans="1:48">
      <c r="A653" s="288"/>
      <c r="B653" s="289"/>
      <c r="C653" s="288"/>
      <c r="D653" s="4"/>
      <c r="E653" s="4"/>
      <c r="G653" s="290"/>
      <c r="H653" s="4"/>
      <c r="I653" s="291"/>
      <c r="J653" s="284"/>
      <c r="K653" s="292"/>
      <c r="L653" s="4"/>
      <c r="M653" s="4"/>
      <c r="N653" s="293"/>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row>
    <row r="654" spans="1:48">
      <c r="A654" s="288"/>
      <c r="B654" s="289"/>
      <c r="C654" s="288"/>
      <c r="D654" s="4"/>
      <c r="E654" s="4"/>
      <c r="G654" s="290"/>
      <c r="H654" s="4"/>
      <c r="I654" s="291"/>
      <c r="J654" s="284"/>
      <c r="K654" s="292"/>
      <c r="L654" s="4"/>
      <c r="M654" s="4"/>
      <c r="N654" s="293"/>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row>
    <row r="655" spans="1:48">
      <c r="A655" s="288"/>
      <c r="B655" s="289"/>
      <c r="C655" s="288"/>
      <c r="D655" s="4"/>
      <c r="E655" s="4"/>
      <c r="G655" s="290"/>
      <c r="H655" s="4"/>
      <c r="I655" s="291"/>
      <c r="J655" s="284"/>
      <c r="K655" s="292"/>
      <c r="L655" s="4"/>
      <c r="M655" s="4"/>
      <c r="N655" s="293"/>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row>
    <row r="656" spans="1:48">
      <c r="A656" s="288"/>
      <c r="B656" s="289"/>
      <c r="C656" s="288"/>
      <c r="D656" s="4"/>
      <c r="E656" s="4"/>
      <c r="G656" s="290"/>
      <c r="H656" s="4"/>
      <c r="I656" s="291"/>
      <c r="J656" s="284"/>
      <c r="K656" s="292"/>
      <c r="L656" s="4"/>
      <c r="M656" s="4"/>
      <c r="N656" s="293"/>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row>
    <row r="657" spans="1:48">
      <c r="A657" s="288"/>
      <c r="B657" s="289"/>
      <c r="C657" s="288"/>
      <c r="D657" s="4"/>
      <c r="E657" s="4"/>
      <c r="G657" s="290"/>
      <c r="H657" s="4"/>
      <c r="I657" s="291"/>
      <c r="J657" s="284"/>
      <c r="K657" s="292"/>
      <c r="L657" s="4"/>
      <c r="M657" s="4"/>
      <c r="N657" s="293"/>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row>
    <row r="658" spans="1:48">
      <c r="A658" s="288"/>
      <c r="B658" s="289"/>
      <c r="C658" s="288"/>
      <c r="D658" s="4"/>
      <c r="E658" s="4"/>
      <c r="G658" s="290"/>
      <c r="H658" s="4"/>
      <c r="I658" s="291"/>
      <c r="J658" s="284"/>
      <c r="K658" s="292"/>
      <c r="L658" s="4"/>
      <c r="M658" s="4"/>
      <c r="N658" s="293"/>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row>
  </sheetData>
  <sheetProtection selectLockedCells="1" selectUnlockedCells="1"/>
  <dataConsolidate/>
  <mergeCells count="247">
    <mergeCell ref="C79:C81"/>
    <mergeCell ref="H102:H103"/>
    <mergeCell ref="J91:J92"/>
    <mergeCell ref="J102:J103"/>
    <mergeCell ref="D79:D81"/>
    <mergeCell ref="E79:E81"/>
    <mergeCell ref="H91:H92"/>
    <mergeCell ref="F91:F92"/>
    <mergeCell ref="G91:G92"/>
    <mergeCell ref="G102:G103"/>
    <mergeCell ref="I102:I103"/>
    <mergeCell ref="J79:J81"/>
    <mergeCell ref="F83:F88"/>
    <mergeCell ref="G83:G88"/>
    <mergeCell ref="H83:H88"/>
    <mergeCell ref="F98:F99"/>
    <mergeCell ref="G98:G99"/>
    <mergeCell ref="H98:H99"/>
    <mergeCell ref="A91:A92"/>
    <mergeCell ref="A89:A90"/>
    <mergeCell ref="A62:A82"/>
    <mergeCell ref="B39:B40"/>
    <mergeCell ref="A36:A41"/>
    <mergeCell ref="B36:B38"/>
    <mergeCell ref="A83:A88"/>
    <mergeCell ref="A93:A112"/>
    <mergeCell ref="B79:B81"/>
    <mergeCell ref="B83:B88"/>
    <mergeCell ref="B102:B103"/>
    <mergeCell ref="B98:B101"/>
    <mergeCell ref="B91:B92"/>
    <mergeCell ref="B105:B110"/>
    <mergeCell ref="A113:A123"/>
    <mergeCell ref="C190:M190"/>
    <mergeCell ref="J179:J181"/>
    <mergeCell ref="K179:K181"/>
    <mergeCell ref="L179:L181"/>
    <mergeCell ref="M179:M181"/>
    <mergeCell ref="B164:B174"/>
    <mergeCell ref="B179:B181"/>
    <mergeCell ref="M164:M174"/>
    <mergeCell ref="C179:C181"/>
    <mergeCell ref="D179:D181"/>
    <mergeCell ref="E179:E181"/>
    <mergeCell ref="H179:H181"/>
    <mergeCell ref="I179:I181"/>
    <mergeCell ref="A184:A185"/>
    <mergeCell ref="F113:F122"/>
    <mergeCell ref="B113:B122"/>
    <mergeCell ref="H113:H122"/>
    <mergeCell ref="B124:B133"/>
    <mergeCell ref="G113:G122"/>
    <mergeCell ref="A148:A161"/>
    <mergeCell ref="A124:A133"/>
    <mergeCell ref="K162:K163"/>
    <mergeCell ref="L162:L163"/>
    <mergeCell ref="C105:C110"/>
    <mergeCell ref="D105:D110"/>
    <mergeCell ref="E105:E110"/>
    <mergeCell ref="H105:H110"/>
    <mergeCell ref="F124:F133"/>
    <mergeCell ref="B134:B147"/>
    <mergeCell ref="F134:F147"/>
    <mergeCell ref="N162:N163"/>
    <mergeCell ref="A164:A181"/>
    <mergeCell ref="F164:F174"/>
    <mergeCell ref="G164:G174"/>
    <mergeCell ref="H164:H174"/>
    <mergeCell ref="I164:I174"/>
    <mergeCell ref="A162:A163"/>
    <mergeCell ref="F162:F163"/>
    <mergeCell ref="G162:G163"/>
    <mergeCell ref="H162:H163"/>
    <mergeCell ref="I162:I163"/>
    <mergeCell ref="J162:J163"/>
    <mergeCell ref="B162:B163"/>
    <mergeCell ref="N179:N181"/>
    <mergeCell ref="J164:J174"/>
    <mergeCell ref="K164:K174"/>
    <mergeCell ref="L164:L174"/>
    <mergeCell ref="M162:M163"/>
    <mergeCell ref="N164:N174"/>
    <mergeCell ref="N91:N92"/>
    <mergeCell ref="K91:K92"/>
    <mergeCell ref="L91:L92"/>
    <mergeCell ref="A134:A147"/>
    <mergeCell ref="N148:N161"/>
    <mergeCell ref="F148:F161"/>
    <mergeCell ref="I124:I133"/>
    <mergeCell ref="K124:K133"/>
    <mergeCell ref="B148:B161"/>
    <mergeCell ref="N124:N133"/>
    <mergeCell ref="N134:N147"/>
    <mergeCell ref="L124:L133"/>
    <mergeCell ref="M124:M133"/>
    <mergeCell ref="G124:G133"/>
    <mergeCell ref="H124:H133"/>
    <mergeCell ref="G148:G161"/>
    <mergeCell ref="H148:H161"/>
    <mergeCell ref="G134:G147"/>
    <mergeCell ref="H134:H147"/>
    <mergeCell ref="I134:I147"/>
    <mergeCell ref="J134:J147"/>
    <mergeCell ref="K134:K147"/>
    <mergeCell ref="L134:L147"/>
    <mergeCell ref="M134:M147"/>
    <mergeCell ref="K83:K88"/>
    <mergeCell ref="I113:I122"/>
    <mergeCell ref="I83:I88"/>
    <mergeCell ref="J83:J88"/>
    <mergeCell ref="I105:I110"/>
    <mergeCell ref="M148:M161"/>
    <mergeCell ref="I91:I92"/>
    <mergeCell ref="I98:I99"/>
    <mergeCell ref="J124:J133"/>
    <mergeCell ref="J113:J122"/>
    <mergeCell ref="M91:M92"/>
    <mergeCell ref="M93:M97"/>
    <mergeCell ref="N93:N97"/>
    <mergeCell ref="J148:J161"/>
    <mergeCell ref="K148:K161"/>
    <mergeCell ref="H42:H58"/>
    <mergeCell ref="I42:I58"/>
    <mergeCell ref="J42:J58"/>
    <mergeCell ref="K42:K58"/>
    <mergeCell ref="L42:L58"/>
    <mergeCell ref="M42:M58"/>
    <mergeCell ref="I148:I161"/>
    <mergeCell ref="L148:L161"/>
    <mergeCell ref="N98:N99"/>
    <mergeCell ref="L83:L88"/>
    <mergeCell ref="M83:M88"/>
    <mergeCell ref="N83:N88"/>
    <mergeCell ref="L113:L122"/>
    <mergeCell ref="M113:M122"/>
    <mergeCell ref="L102:L103"/>
    <mergeCell ref="M102:M103"/>
    <mergeCell ref="N113:N122"/>
    <mergeCell ref="K113:K122"/>
    <mergeCell ref="N79:N81"/>
    <mergeCell ref="K102:K103"/>
    <mergeCell ref="K79:K81"/>
    <mergeCell ref="L79:L81"/>
    <mergeCell ref="G62:G76"/>
    <mergeCell ref="H62:H76"/>
    <mergeCell ref="I62:I76"/>
    <mergeCell ref="H79:H81"/>
    <mergeCell ref="I79:I81"/>
    <mergeCell ref="M62:M76"/>
    <mergeCell ref="J62:J76"/>
    <mergeCell ref="M79:M81"/>
    <mergeCell ref="N62:N76"/>
    <mergeCell ref="K62:K76"/>
    <mergeCell ref="L62:L76"/>
    <mergeCell ref="A33:A34"/>
    <mergeCell ref="N15:N18"/>
    <mergeCell ref="N23:N28"/>
    <mergeCell ref="K15:K18"/>
    <mergeCell ref="M39:M40"/>
    <mergeCell ref="H36:H38"/>
    <mergeCell ref="I36:I38"/>
    <mergeCell ref="F42:F58"/>
    <mergeCell ref="G42:G58"/>
    <mergeCell ref="A42:A61"/>
    <mergeCell ref="J15:J18"/>
    <mergeCell ref="M36:M38"/>
    <mergeCell ref="N36:N38"/>
    <mergeCell ref="F39:F40"/>
    <mergeCell ref="G39:G40"/>
    <mergeCell ref="H39:H40"/>
    <mergeCell ref="I39:I40"/>
    <mergeCell ref="J39:J40"/>
    <mergeCell ref="K39:K40"/>
    <mergeCell ref="L39:L40"/>
    <mergeCell ref="N39:N40"/>
    <mergeCell ref="F36:F38"/>
    <mergeCell ref="G36:G38"/>
    <mergeCell ref="J23:J28"/>
    <mergeCell ref="K23:K28"/>
    <mergeCell ref="L23:L28"/>
    <mergeCell ref="M23:M28"/>
    <mergeCell ref="A3:A4"/>
    <mergeCell ref="A6:A8"/>
    <mergeCell ref="A9:A10"/>
    <mergeCell ref="F23:F28"/>
    <mergeCell ref="G23:G28"/>
    <mergeCell ref="H23:H28"/>
    <mergeCell ref="I23:I28"/>
    <mergeCell ref="A15:A22"/>
    <mergeCell ref="F15:F18"/>
    <mergeCell ref="G15:G18"/>
    <mergeCell ref="H15:H18"/>
    <mergeCell ref="I15:I18"/>
    <mergeCell ref="B3:B4"/>
    <mergeCell ref="M15:M18"/>
    <mergeCell ref="A11:A13"/>
    <mergeCell ref="B15:B18"/>
    <mergeCell ref="A23:A32"/>
    <mergeCell ref="B23:B29"/>
    <mergeCell ref="L15:L18"/>
    <mergeCell ref="M105:M110"/>
    <mergeCell ref="N105:N110"/>
    <mergeCell ref="B93:B97"/>
    <mergeCell ref="C93:C97"/>
    <mergeCell ref="D93:D97"/>
    <mergeCell ref="E93:E97"/>
    <mergeCell ref="H93:H97"/>
    <mergeCell ref="I93:I97"/>
    <mergeCell ref="J93:J97"/>
    <mergeCell ref="K93:K97"/>
    <mergeCell ref="L93:L97"/>
    <mergeCell ref="J98:J99"/>
    <mergeCell ref="K98:K99"/>
    <mergeCell ref="L98:L99"/>
    <mergeCell ref="M98:M99"/>
    <mergeCell ref="F102:F103"/>
    <mergeCell ref="J36:J38"/>
    <mergeCell ref="K36:K38"/>
    <mergeCell ref="L36:L38"/>
    <mergeCell ref="B42:B58"/>
    <mergeCell ref="B62:B76"/>
    <mergeCell ref="F62:F76"/>
    <mergeCell ref="N42:N58"/>
    <mergeCell ref="O164:O174"/>
    <mergeCell ref="O179:O181"/>
    <mergeCell ref="A1:O1"/>
    <mergeCell ref="O93:O97"/>
    <mergeCell ref="O98:O99"/>
    <mergeCell ref="O102:O104"/>
    <mergeCell ref="O105:O110"/>
    <mergeCell ref="O113:O122"/>
    <mergeCell ref="O124:O133"/>
    <mergeCell ref="O134:O147"/>
    <mergeCell ref="O148:O161"/>
    <mergeCell ref="O162:O163"/>
    <mergeCell ref="O15:O18"/>
    <mergeCell ref="O23:O28"/>
    <mergeCell ref="O36:O38"/>
    <mergeCell ref="O39:O40"/>
    <mergeCell ref="O42:O58"/>
    <mergeCell ref="O62:O76"/>
    <mergeCell ref="O79:O81"/>
    <mergeCell ref="O83:O88"/>
    <mergeCell ref="O91:O92"/>
    <mergeCell ref="J105:J110"/>
    <mergeCell ref="K105:K110"/>
    <mergeCell ref="L105:L110"/>
  </mergeCells>
  <phoneticPr fontId="5" type="noConversion"/>
  <dataValidations xWindow="665" yWindow="517" count="51">
    <dataValidation type="list" allowBlank="1" showInputMessage="1" showErrorMessage="1" sqref="E188 E183:E186 E111:E179 E98:E105 E89:E93 E3:E87">
      <formula1>"1"</formula1>
    </dataValidation>
    <dataValidation type="whole" operator="lessThanOrEqual" allowBlank="1" showInputMessage="1" showErrorMessage="1" error="许可数不得大于2" promptTitle="许可数量约束！！！" prompt="许可数不得大于1！！！" sqref="J186">
      <formula1>1</formula1>
    </dataValidation>
    <dataValidation type="whole" operator="lessThanOrEqual" allowBlank="1" showInputMessage="1" showErrorMessage="1" errorTitle="许可数不得大于1" error="许可数不得大于1" promptTitle="许可数量约束！！！" prompt="许可数不得大于1" sqref="H186">
      <formula1>1</formula1>
    </dataValidation>
    <dataValidation allowBlank="1" showErrorMessage="1" sqref="E187"/>
    <dataValidation operator="greaterThan" showErrorMessage="1" errorTitle="请输入大于零的整数" error="请输入大于零的整数。" sqref="H187"/>
    <dataValidation type="whole" operator="greaterThanOrEqual" showInputMessage="1" showErrorMessage="1" errorTitle="许可数量出错！" error="企业协同管理许可数量不能小于50个，请输入大于等于50的整数！" promptTitle="许可数量约束！" prompt="许可数量不能小于100个！" sqref="H179">
      <formula1>100</formula1>
    </dataValidation>
    <dataValidation operator="greaterThanOrEqual" showErrorMessage="1" errorTitle="许可数量出错！" error="企业协同管理许可数量不能小于50个，请输入大于等于50的整数！" promptTitle="许可数量约束！" prompt="企业协同管理许可数量不能小于50个！" sqref="H178"/>
    <dataValidation type="whole" operator="greaterThanOrEqual" showInputMessage="1" showErrorMessage="1" errorTitle="许可数量出错！" error="企业协同管理许可数量不能小于50个，请输入大于等于50的整数！" promptTitle="许可数量约束！" prompt="企业协同管理许可数量不能小于50个！" sqref="H164:H165">
      <formula1>50</formula1>
    </dataValidation>
    <dataValidation type="whole" operator="greaterThanOrEqual" showInputMessage="1" showErrorMessage="1" errorTitle="许可数量出错！" error="HR自助的许可数量不能小于50，请输入大于等于50的整数！" promptTitle="许可数量约束！" prompt="HR自助许可数量不能小于50个！" sqref="H162:H163">
      <formula1>50</formula1>
    </dataValidation>
    <dataValidation type="whole" operator="greaterThanOrEqual" allowBlank="1" showInputMessage="1" showErrorMessage="1" promptTitle="许可数量约束！" prompt="人力资本许可数量不能小于5个！" sqref="H148:H161">
      <formula1>5</formula1>
    </dataValidation>
    <dataValidation type="whole" operator="greaterThanOrEqual" allowBlank="1" showInputMessage="1" showErrorMessage="1" errorTitle="许可数量出错！" error="资产管理最低许可数量为5个，请输入大约等于5的整数！" promptTitle="许可数量约束！" prompt="资产管理许可数量不能小于5个！" sqref="H124:H133">
      <formula1>5</formula1>
    </dataValidation>
    <dataValidation type="whole" operator="greaterThanOrEqual" allowBlank="1" showInputMessage="1" showErrorMessage="1" errorTitle="许可数量出错！" error="生产制造许可数量不能小于5个，请输入大于等于5的整数！" promptTitle="许可数量约束！" prompt="生产制造许可数量不能小于5个！" sqref="H113">
      <formula1>5</formula1>
    </dataValidation>
    <dataValidation type="whole" operator="greaterThanOrEqual" allowBlank="1" showInputMessage="1" showErrorMessage="1" errorTitle="许可数量出错！" error="资产管理最低许可数量为5个，请输入大约等于5的整数！" promptTitle="许可数量约束！" prompt="项目管理许可数量不能小于5个！" sqref="H134:H147">
      <formula1>5</formula1>
    </dataValidation>
    <dataValidation type="whole" operator="greaterThanOrEqual" allowBlank="1" showInputMessage="1" showErrorMessage="1" promptTitle="许可数量约束！！！" prompt="进出口许可数量不可小于5个！" sqref="H83:H88">
      <formula1>5</formula1>
    </dataValidation>
    <dataValidation type="list" operator="equal" allowBlank="1" showInputMessage="1" showErrorMessage="1" sqref="E88">
      <formula1>"1"</formula1>
    </dataValidation>
    <dataValidation type="whole" operator="greaterThanOrEqual" showInputMessage="1" showErrorMessage="1" errorTitle="许可数量出错！" error="财务会计许可数量不能小于5个，请输入大于等于5的整数！" promptTitle="许可数量约束！" prompt="财务会计许可数量不能小于5个！" sqref="H23:H28">
      <formula1>5</formula1>
    </dataValidation>
    <dataValidation type="whole" operator="greaterThanOrEqual" allowBlank="1" showInputMessage="1" showErrorMessage="1" errorTitle="许可数量出错！" error="_x000a_" promptTitle="许可数量约束！" prompt="供应商管理可数量不能小于5个！" sqref="H91:H92">
      <formula1>5</formula1>
    </dataValidation>
    <dataValidation type="whole" operator="greaterThanOrEqual" allowBlank="1" showInputMessage="1" showErrorMessage="1" errorTitle="许可数量出错！" error="供应商门户许可数量不能小于50个！" promptTitle="许可数量约束！" prompt="供应商门户许可数量不能小于50个！" sqref="H93">
      <formula1>50</formula1>
    </dataValidation>
    <dataValidation type="whole" operator="greaterThanOrEqual" allowBlank="1" showInputMessage="1" showErrorMessage="1" errorTitle="许可数量出错！" error="许可数量不能小于2个！" promptTitle="许可数量约束！" prompt="许可数量不能小于2个！" sqref="H98:H99">
      <formula1>2</formula1>
    </dataValidation>
    <dataValidation type="whole" operator="greaterThanOrEqual" allowBlank="1" showInputMessage="1" showErrorMessage="1" promptTitle="许可数量约束！！！" prompt="许可数不得小于2！" sqref="H102">
      <formula1>2</formula1>
    </dataValidation>
    <dataValidation operator="greaterThanOrEqual" allowBlank="1" showInputMessage="1" showErrorMessage="1" errorTitle="许可数量出错！" sqref="H111"/>
    <dataValidation operator="greaterThanOrEqual" allowBlank="1" showInputMessage="1" showErrorMessage="1" sqref="H112 H104"/>
    <dataValidation type="whole" operator="greaterThanOrEqual" allowBlank="1" showInputMessage="1" showErrorMessage="1" errorTitle="许可数量出错！" error="经销商门户许可数量不能小于25个，请输入大于等于25的整数！" promptTitle="许可数量约束！" prompt="经销商门户许可数量不能小于50个！" sqref="H105">
      <formula1>50</formula1>
    </dataValidation>
    <dataValidation type="whole" operator="greaterThanOrEqual" allowBlank="1" showInputMessage="1" showErrorMessage="1" errorTitle="许可数量出错！" error="渠道管理许可数量不能小于30个，请输入大于等于30的整数！_x000a_" promptTitle="许可数量约束！" prompt="渠道数据采集许可数量不能小于30个！" sqref="H89">
      <formula1>30</formula1>
    </dataValidation>
    <dataValidation type="whole" operator="greaterThanOrEqual" allowBlank="1" showInputMessage="1" showErrorMessage="1" errorTitle="许可数量出错！" error="渠道管理许可数量不能小于30个，请输入大于等于30的整数！_x000a_" promptTitle="许可数量约束！" prompt="渠道补货协同许可数量不能小于30个！" sqref="H90">
      <formula1>30</formula1>
    </dataValidation>
    <dataValidation type="whole" operator="greaterThanOrEqual" showInputMessage="1" showErrorMessage="1" errorTitle="许可数量出错！" error="网上报销许可数量不能小于50，请输入大于等于50的整数！" promptTitle="许可数量约束！" prompt="网上报账许可数量不能小于50个！" sqref="H35">
      <formula1>50</formula1>
    </dataValidation>
    <dataValidation type="whole" operator="greaterThanOrEqual" allowBlank="1" showInputMessage="1" showErrorMessage="1" errorTitle="许可数量出错！" error="质量管理许可数量不能小于2个，请输入大于等于2的整数！_x000a_" promptTitle="许可数量约束！" prompt="质量管理许可数量不能小于2个！" sqref="H77">
      <formula1>2</formula1>
    </dataValidation>
    <dataValidation type="whole" operator="greaterThanOrEqual" allowBlank="1" showInputMessage="1" showErrorMessage="1" errorTitle="许可数量出错！" error="许可数量不能小于2个，请输入大于等于2的整数！" promptTitle="许可数量约束！" prompt="无线设备接口许可数量不能小于5个！" sqref="H79:H81">
      <formula1>5</formula1>
    </dataValidation>
    <dataValidation type="whole" operator="greaterThanOrEqual" showInputMessage="1" showErrorMessage="1" errorTitle="许可数量出错！" error="资金管理许可数量不能小于5个，请输入大约等于5的整数！" promptTitle="许可数量约束！" prompt="资金分析许可数量不能小于5个！" sqref="H59">
      <formula1>5</formula1>
    </dataValidation>
    <dataValidation type="whole" operator="greaterThanOrEqual" showInputMessage="1" showErrorMessage="1" errorTitle="许可数量出错！" error="管理会计许可数量不能小于2个，请输入大于等于2的整数！" promptTitle="许可数量约束！" prompt="项目成本许可数量不能小于2个！" sqref="H41">
      <formula1>2</formula1>
    </dataValidation>
    <dataValidation type="whole" operator="greaterThanOrEqual" showInputMessage="1" showErrorMessage="1" errorTitle="许可数量出错！" error="资金管理许可数量不能小于5个，请输入大约等于5的整数！" promptTitle="许可数量约束！" prompt="资金管理许可数量不能小于5个！" sqref="H42:H58">
      <formula1>5</formula1>
    </dataValidation>
    <dataValidation operator="greaterThanOrEqual" showErrorMessage="1" sqref="H61"/>
    <dataValidation type="whole" operator="greaterThanOrEqual" showInputMessage="1" showErrorMessage="1" promptTitle="许可数量约束！" prompt="多结算中心数量不能小于2个" sqref="H60">
      <formula1>2</formula1>
    </dataValidation>
    <dataValidation type="whole" operator="greaterThanOrEqual" allowBlank="1" showInputMessage="1" showErrorMessage="1" errorTitle="许可数量出错！" error="供应链许可数量不能小于5个，请输入大于等于5的整数。" promptTitle="许可数量约束！" prompt="供应链许可数量不能小于5个！" sqref="H62">
      <formula1>5</formula1>
    </dataValidation>
    <dataValidation type="custom" operator="greaterThanOrEqual" allowBlank="1" showInputMessage="1" showErrorMessage="1" errorTitle="数据无效！" error="必须输入10的倍数！" promptTitle="许可数量约束！" prompt="必须输入10的倍数！" sqref="H30:H32">
      <formula1>MOD(H30,10)=0</formula1>
    </dataValidation>
    <dataValidation operator="greaterThanOrEqual" showInputMessage="1" showErrorMessage="1" errorTitle="许可数量出错！" error="战略管理许可数量不能小于5个，请输入大于等于5的整数！" sqref="H29 H21:H22"/>
    <dataValidation type="whole" operator="greaterThanOrEqual" allowBlank="1" showInputMessage="1" showErrorMessage="1" promptTitle="许可数量约束！" prompt="许可数量不能小于5个！" sqref="H20">
      <formula1>5</formula1>
    </dataValidation>
    <dataValidation type="whole" operator="greaterThanOrEqual" allowBlank="1" showInputMessage="1" showErrorMessage="1" promptTitle="许可数量约束！" prompt="许可数不得小于2！" sqref="H14">
      <formula1>2</formula1>
    </dataValidation>
    <dataValidation type="whole" operator="greaterThanOrEqual" showInputMessage="1" showErrorMessage="1" errorTitle="许可数量出错！" error="战略管理许可数量不能小于5个，请输入大于等于5的整数！" promptTitle="许可数量约束！" prompt="企业绩效管理许可数量不能小于5个！" sqref="H15:H18">
      <formula1>5</formula1>
    </dataValidation>
    <dataValidation type="whole" operator="greaterThanOrEqual" allowBlank="1" showInputMessage="1" showErrorMessage="1" promptTitle="许可数量约束！" prompt="预算Excel端许可数量不能小于4个！" sqref="H19">
      <formula1>4</formula1>
    </dataValidation>
    <dataValidation type="whole" operator="greaterThanOrEqual" allowBlank="1" showInputMessage="1" showErrorMessage="1" promptTitle="许可数量约束！" prompt="门户集成许可数量不能小于2！" sqref="H8">
      <formula1>2</formula1>
    </dataValidation>
    <dataValidation type="whole" operator="greaterThanOrEqual" allowBlank="1" showInputMessage="1" showErrorMessage="1" promptTitle="许可数量约束！" prompt="自由表单许可数量不能小于2个！" sqref="H9">
      <formula1>2</formula1>
    </dataValidation>
    <dataValidation type="whole" operator="greaterThanOrEqual" allowBlank="1" showInputMessage="1" showErrorMessage="1" promptTitle="许可数量约束！" prompt="ESB Express许可数量不能小于2个！" sqref="H7">
      <formula1>2</formula1>
    </dataValidation>
    <dataValidation type="whole" operator="greaterThanOrEqual" allowBlank="1" showInputMessage="1" showErrorMessage="1" promptTitle="许可数量约束！" prompt="报表平台许可数量不能小于2个！" sqref="H4">
      <formula1>2</formula1>
    </dataValidation>
    <dataValidation type="whole" operator="greaterThanOrEqual" allowBlank="1" showInputMessage="1" showErrorMessage="1" promptTitle="许可数量约束！" prompt="NMC智能监控许可数量不能小于4个！" sqref="H5">
      <formula1>4</formula1>
    </dataValidation>
    <dataValidation type="whole" operator="greaterThanOrEqual" allowBlank="1" showInputMessage="1" showErrorMessage="1" promptTitle="许可数量约束！" prompt="费用管理许可数量不能小于5个！" sqref="H33">
      <formula1>5</formula1>
    </dataValidation>
    <dataValidation type="whole" operator="greaterThanOrEqual" showInputMessage="1" showErrorMessage="1" errorTitle="许可数量出错！" error="财务会计许可数量不能小于5个，请输入大于等于5的整数！" promptTitle="许可数量约束！" prompt="费用预算许可数量不能小于5个！" sqref="H34">
      <formula1>5</formula1>
    </dataValidation>
    <dataValidation type="whole" operator="greaterThanOrEqual" showInputMessage="1" showErrorMessage="1" errorTitle="许可数量出错！" error="管理会计许可数量不能小于2个，请输入大于等于2的整数！" promptTitle="许可数量约束！" prompt="利润中心许可数量不能小于2个！" sqref="H36:H38">
      <formula1>2</formula1>
    </dataValidation>
    <dataValidation type="whole" operator="greaterThanOrEqual" showInputMessage="1" showErrorMessage="1" errorTitle="许可数量出错！" error="管理会计许可数量不能小于2个，请输入大于等于2的整数！" promptTitle="许可数量约束！" prompt="产品成本许可数量不能小于2个！" sqref="H39:H40">
      <formula1>2</formula1>
    </dataValidation>
    <dataValidation type="whole" operator="greaterThanOrEqual" allowBlank="1" showInputMessage="1" showErrorMessage="1" promptTitle="许可数量约束！" prompt="条码管理许可数不得小于2个！" sqref="H78">
      <formula1>2</formula1>
    </dataValidation>
    <dataValidation type="whole" operator="greaterThanOrEqual" allowBlank="1" showInputMessage="1" showErrorMessage="1" promptTitle="许可数量约束！" prompt="工单许可数量不得小于5个！" sqref="H13">
      <formula1>5</formula1>
    </dataValidation>
  </dataValidations>
  <pageMargins left="0.7" right="0.7" top="0.75" bottom="0.75" header="0.3" footer="0.3"/>
  <pageSetup paperSize="9" orientation="portrait" horizontalDpi="200" verticalDpi="200" r:id="rId1"/>
  <ignoredErrors>
    <ignoredError sqref="I18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pane xSplit="1" ySplit="3" topLeftCell="B27" activePane="bottomRight" state="frozen"/>
      <selection pane="topRight" activeCell="B1" sqref="B1"/>
      <selection pane="bottomLeft" activeCell="A3" sqref="A3"/>
      <selection pane="bottomRight" activeCell="B41" sqref="B41:I41"/>
    </sheetView>
  </sheetViews>
  <sheetFormatPr defaultRowHeight="12.75"/>
  <cols>
    <col min="1" max="1" width="12.625" style="224" customWidth="1"/>
    <col min="2" max="2" width="19.5" style="224" customWidth="1"/>
    <col min="3" max="3" width="16" style="224" customWidth="1"/>
    <col min="4" max="4" width="9.875" style="224" customWidth="1"/>
    <col min="5" max="5" width="22.875" style="224" customWidth="1"/>
    <col min="6" max="6" width="18.625" style="224" bestFit="1" customWidth="1"/>
    <col min="7" max="7" width="9.875" style="224" customWidth="1"/>
    <col min="8" max="8" width="10.75" style="224" customWidth="1"/>
    <col min="9" max="9" width="19.25" style="224" customWidth="1"/>
    <col min="10" max="16384" width="9" style="224"/>
  </cols>
  <sheetData>
    <row r="1" spans="1:9" ht="39.950000000000003" customHeight="1">
      <c r="A1" s="1159" t="s">
        <v>696</v>
      </c>
      <c r="B1" s="1159"/>
      <c r="C1" s="1159"/>
      <c r="D1" s="1159"/>
      <c r="E1" s="1159"/>
      <c r="F1" s="1159"/>
      <c r="G1" s="1159"/>
      <c r="H1" s="1159"/>
      <c r="I1" s="1159"/>
    </row>
    <row r="2" spans="1:9" ht="39.950000000000003" customHeight="1" thickBot="1">
      <c r="A2" s="1160" t="s">
        <v>697</v>
      </c>
      <c r="B2" s="1160"/>
      <c r="C2" s="1160"/>
      <c r="D2" s="1160"/>
      <c r="E2" s="1160"/>
      <c r="F2" s="1160"/>
      <c r="G2" s="1160"/>
      <c r="H2" s="1160"/>
      <c r="I2" s="1160"/>
    </row>
    <row r="3" spans="1:9" s="227" customFormat="1" ht="20.100000000000001" customHeight="1">
      <c r="A3" s="225" t="s">
        <v>698</v>
      </c>
      <c r="B3" s="226" t="s">
        <v>699</v>
      </c>
      <c r="C3" s="226" t="s">
        <v>700</v>
      </c>
      <c r="D3" s="226" t="s">
        <v>701</v>
      </c>
      <c r="E3" s="226" t="s">
        <v>13</v>
      </c>
      <c r="F3" s="226" t="s">
        <v>702</v>
      </c>
      <c r="G3" s="226" t="s">
        <v>701</v>
      </c>
      <c r="H3" s="226" t="s">
        <v>229</v>
      </c>
      <c r="I3" s="226" t="s">
        <v>13</v>
      </c>
    </row>
    <row r="4" spans="1:9" s="229" customFormat="1">
      <c r="A4" s="1161" t="s">
        <v>703</v>
      </c>
      <c r="B4" s="242" t="s">
        <v>704</v>
      </c>
      <c r="C4" s="243">
        <v>0</v>
      </c>
      <c r="D4" s="244"/>
      <c r="E4" s="245" t="s">
        <v>706</v>
      </c>
      <c r="F4" s="246" t="s">
        <v>705</v>
      </c>
      <c r="G4" s="244"/>
      <c r="H4" s="228">
        <f>SUM(IF(D4=1,C4,0),IF(G4=1,F4,0))</f>
        <v>0</v>
      </c>
      <c r="I4" s="247"/>
    </row>
    <row r="5" spans="1:9" s="227" customFormat="1" ht="15" customHeight="1">
      <c r="A5" s="1161"/>
      <c r="B5" s="230" t="s">
        <v>707</v>
      </c>
      <c r="C5" s="231">
        <v>5</v>
      </c>
      <c r="D5" s="232"/>
      <c r="E5" s="248" t="s">
        <v>708</v>
      </c>
      <c r="F5" s="233" t="s">
        <v>705</v>
      </c>
      <c r="G5" s="232"/>
      <c r="H5" s="234">
        <f>SUM(IF(D5=1,C5,0),IF(G5=1,F5,0))</f>
        <v>0</v>
      </c>
      <c r="I5" s="249"/>
    </row>
    <row r="6" spans="1:9" s="227" customFormat="1" ht="15" customHeight="1">
      <c r="A6" s="1161"/>
      <c r="B6" s="230" t="s">
        <v>709</v>
      </c>
      <c r="C6" s="231">
        <v>5</v>
      </c>
      <c r="D6" s="232"/>
      <c r="E6" s="248" t="s">
        <v>710</v>
      </c>
      <c r="F6" s="233" t="s">
        <v>705</v>
      </c>
      <c r="G6" s="232"/>
      <c r="H6" s="234">
        <f t="shared" ref="H6:H39" si="0">SUM(IF(D6=1,C6,0),IF(G6=1,F6,0))</f>
        <v>0</v>
      </c>
      <c r="I6" s="249"/>
    </row>
    <row r="7" spans="1:9" s="227" customFormat="1" ht="15" customHeight="1">
      <c r="A7" s="1161"/>
      <c r="B7" s="230" t="s">
        <v>711</v>
      </c>
      <c r="C7" s="231">
        <v>5</v>
      </c>
      <c r="D7" s="232"/>
      <c r="E7" s="248" t="s">
        <v>712</v>
      </c>
      <c r="F7" s="233">
        <v>2</v>
      </c>
      <c r="G7" s="232">
        <v>1</v>
      </c>
      <c r="H7" s="234">
        <f t="shared" si="0"/>
        <v>2</v>
      </c>
      <c r="I7" s="248" t="s">
        <v>750</v>
      </c>
    </row>
    <row r="8" spans="1:9" s="227" customFormat="1" ht="15" customHeight="1">
      <c r="A8" s="1161"/>
      <c r="B8" s="230" t="s">
        <v>713</v>
      </c>
      <c r="C8" s="231">
        <v>5</v>
      </c>
      <c r="D8" s="232"/>
      <c r="E8" s="248"/>
      <c r="F8" s="233" t="s">
        <v>705</v>
      </c>
      <c r="G8" s="232"/>
      <c r="H8" s="234">
        <f t="shared" si="0"/>
        <v>0</v>
      </c>
      <c r="I8" s="249"/>
    </row>
    <row r="9" spans="1:9" ht="15" customHeight="1">
      <c r="A9" s="1161"/>
      <c r="B9" s="235" t="s">
        <v>714</v>
      </c>
      <c r="C9" s="231">
        <v>5</v>
      </c>
      <c r="D9" s="232"/>
      <c r="E9" s="248"/>
      <c r="F9" s="233" t="s">
        <v>705</v>
      </c>
      <c r="G9" s="232"/>
      <c r="H9" s="234">
        <f t="shared" si="0"/>
        <v>0</v>
      </c>
      <c r="I9" s="250"/>
    </row>
    <row r="10" spans="1:9" ht="15" customHeight="1">
      <c r="A10" s="1161"/>
      <c r="B10" s="235" t="s">
        <v>715</v>
      </c>
      <c r="C10" s="231">
        <v>5</v>
      </c>
      <c r="D10" s="232"/>
      <c r="E10" s="248"/>
      <c r="F10" s="233" t="s">
        <v>705</v>
      </c>
      <c r="G10" s="232"/>
      <c r="H10" s="234">
        <f t="shared" si="0"/>
        <v>0</v>
      </c>
      <c r="I10" s="250"/>
    </row>
    <row r="11" spans="1:9" ht="15" customHeight="1">
      <c r="A11" s="1161"/>
      <c r="B11" s="235" t="s">
        <v>716</v>
      </c>
      <c r="C11" s="231">
        <v>5</v>
      </c>
      <c r="D11" s="232"/>
      <c r="E11" s="248"/>
      <c r="F11" s="233" t="s">
        <v>705</v>
      </c>
      <c r="G11" s="232"/>
      <c r="H11" s="234">
        <f t="shared" si="0"/>
        <v>0</v>
      </c>
      <c r="I11" s="250"/>
    </row>
    <row r="12" spans="1:9" ht="15" customHeight="1">
      <c r="A12" s="1161"/>
      <c r="B12" s="235" t="s">
        <v>717</v>
      </c>
      <c r="C12" s="231">
        <v>5</v>
      </c>
      <c r="D12" s="232"/>
      <c r="E12" s="248"/>
      <c r="F12" s="233" t="s">
        <v>705</v>
      </c>
      <c r="G12" s="232"/>
      <c r="H12" s="234">
        <f t="shared" si="0"/>
        <v>0</v>
      </c>
      <c r="I12" s="250"/>
    </row>
    <row r="13" spans="1:9" ht="15" customHeight="1">
      <c r="A13" s="1161"/>
      <c r="B13" s="235" t="s">
        <v>718</v>
      </c>
      <c r="C13" s="231">
        <v>5</v>
      </c>
      <c r="D13" s="232"/>
      <c r="E13" s="248"/>
      <c r="F13" s="233" t="s">
        <v>705</v>
      </c>
      <c r="G13" s="232"/>
      <c r="H13" s="234">
        <f t="shared" si="0"/>
        <v>0</v>
      </c>
      <c r="I13" s="250"/>
    </row>
    <row r="14" spans="1:9" ht="15" customHeight="1">
      <c r="A14" s="1161"/>
      <c r="B14" s="235" t="s">
        <v>719</v>
      </c>
      <c r="C14" s="231">
        <v>5</v>
      </c>
      <c r="D14" s="232"/>
      <c r="E14" s="248"/>
      <c r="F14" s="233" t="s">
        <v>705</v>
      </c>
      <c r="G14" s="232"/>
      <c r="H14" s="234">
        <f t="shared" si="0"/>
        <v>0</v>
      </c>
      <c r="I14" s="250"/>
    </row>
    <row r="15" spans="1:9" ht="15" customHeight="1">
      <c r="A15" s="1161"/>
      <c r="B15" s="235" t="s">
        <v>720</v>
      </c>
      <c r="C15" s="231">
        <v>5</v>
      </c>
      <c r="D15" s="232"/>
      <c r="E15" s="248"/>
      <c r="F15" s="233" t="s">
        <v>705</v>
      </c>
      <c r="G15" s="232"/>
      <c r="H15" s="234">
        <f t="shared" si="0"/>
        <v>0</v>
      </c>
      <c r="I15" s="250"/>
    </row>
    <row r="16" spans="1:9" ht="15" customHeight="1">
      <c r="A16" s="1161"/>
      <c r="B16" s="235" t="s">
        <v>721</v>
      </c>
      <c r="C16" s="231">
        <v>5</v>
      </c>
      <c r="D16" s="232"/>
      <c r="E16" s="248"/>
      <c r="F16" s="233" t="s">
        <v>705</v>
      </c>
      <c r="G16" s="232"/>
      <c r="H16" s="234">
        <f t="shared" si="0"/>
        <v>0</v>
      </c>
      <c r="I16" s="250"/>
    </row>
    <row r="17" spans="1:9" ht="15" customHeight="1">
      <c r="A17" s="1161"/>
      <c r="B17" s="235" t="s">
        <v>722</v>
      </c>
      <c r="C17" s="231">
        <v>5</v>
      </c>
      <c r="D17" s="232"/>
      <c r="E17" s="248"/>
      <c r="F17" s="233" t="s">
        <v>705</v>
      </c>
      <c r="G17" s="232"/>
      <c r="H17" s="234">
        <f t="shared" si="0"/>
        <v>0</v>
      </c>
      <c r="I17" s="250"/>
    </row>
    <row r="18" spans="1:9" ht="15" customHeight="1">
      <c r="A18" s="1161"/>
      <c r="B18" s="235" t="s">
        <v>723</v>
      </c>
      <c r="C18" s="231">
        <v>5</v>
      </c>
      <c r="D18" s="232"/>
      <c r="E18" s="248"/>
      <c r="F18" s="233" t="s">
        <v>705</v>
      </c>
      <c r="G18" s="232"/>
      <c r="H18" s="234">
        <f t="shared" si="0"/>
        <v>0</v>
      </c>
      <c r="I18" s="250"/>
    </row>
    <row r="19" spans="1:9" ht="15" customHeight="1">
      <c r="A19" s="1161"/>
      <c r="B19" s="236" t="s">
        <v>724</v>
      </c>
      <c r="C19" s="231">
        <v>5</v>
      </c>
      <c r="D19" s="232"/>
      <c r="E19" s="248"/>
      <c r="F19" s="233" t="s">
        <v>705</v>
      </c>
      <c r="G19" s="232"/>
      <c r="H19" s="234">
        <f t="shared" si="0"/>
        <v>0</v>
      </c>
      <c r="I19" s="250"/>
    </row>
    <row r="20" spans="1:9" ht="15" customHeight="1">
      <c r="A20" s="1161"/>
      <c r="B20" s="235" t="s">
        <v>725</v>
      </c>
      <c r="C20" s="231">
        <v>5</v>
      </c>
      <c r="D20" s="232"/>
      <c r="E20" s="248"/>
      <c r="F20" s="233" t="s">
        <v>705</v>
      </c>
      <c r="G20" s="232"/>
      <c r="H20" s="234">
        <f t="shared" si="0"/>
        <v>0</v>
      </c>
      <c r="I20" s="250"/>
    </row>
    <row r="21" spans="1:9" ht="15" customHeight="1">
      <c r="A21" s="1161"/>
      <c r="B21" s="236" t="s">
        <v>726</v>
      </c>
      <c r="C21" s="231">
        <v>5</v>
      </c>
      <c r="D21" s="232"/>
      <c r="E21" s="248"/>
      <c r="F21" s="233" t="s">
        <v>705</v>
      </c>
      <c r="G21" s="232"/>
      <c r="H21" s="234">
        <f t="shared" si="0"/>
        <v>0</v>
      </c>
      <c r="I21" s="250"/>
    </row>
    <row r="22" spans="1:9" ht="15" customHeight="1">
      <c r="A22" s="1161"/>
      <c r="B22" s="236" t="s">
        <v>727</v>
      </c>
      <c r="C22" s="231">
        <v>5</v>
      </c>
      <c r="D22" s="232"/>
      <c r="E22" s="248"/>
      <c r="F22" s="233" t="s">
        <v>705</v>
      </c>
      <c r="G22" s="232"/>
      <c r="H22" s="234">
        <f t="shared" si="0"/>
        <v>0</v>
      </c>
      <c r="I22" s="250"/>
    </row>
    <row r="23" spans="1:9" ht="15" customHeight="1">
      <c r="A23" s="1161"/>
      <c r="B23" s="236" t="s">
        <v>728</v>
      </c>
      <c r="C23" s="231">
        <v>5</v>
      </c>
      <c r="D23" s="232"/>
      <c r="E23" s="248"/>
      <c r="F23" s="233" t="s">
        <v>705</v>
      </c>
      <c r="G23" s="232"/>
      <c r="H23" s="234">
        <f t="shared" si="0"/>
        <v>0</v>
      </c>
      <c r="I23" s="250"/>
    </row>
    <row r="24" spans="1:9" ht="15" customHeight="1">
      <c r="A24" s="1161"/>
      <c r="B24" s="235" t="s">
        <v>729</v>
      </c>
      <c r="C24" s="231">
        <v>5</v>
      </c>
      <c r="D24" s="232"/>
      <c r="E24" s="248"/>
      <c r="F24" s="233" t="s">
        <v>705</v>
      </c>
      <c r="G24" s="232"/>
      <c r="H24" s="234">
        <f t="shared" si="0"/>
        <v>0</v>
      </c>
      <c r="I24" s="250"/>
    </row>
    <row r="25" spans="1:9" ht="15" customHeight="1">
      <c r="A25" s="1161"/>
      <c r="B25" s="236" t="s">
        <v>730</v>
      </c>
      <c r="C25" s="231">
        <v>5</v>
      </c>
      <c r="D25" s="232">
        <v>1</v>
      </c>
      <c r="E25" s="248"/>
      <c r="F25" s="233" t="s">
        <v>705</v>
      </c>
      <c r="G25" s="232"/>
      <c r="H25" s="234">
        <f t="shared" si="0"/>
        <v>5</v>
      </c>
      <c r="I25" s="250"/>
    </row>
    <row r="26" spans="1:9" ht="15" customHeight="1">
      <c r="A26" s="1161"/>
      <c r="B26" s="236" t="s">
        <v>731</v>
      </c>
      <c r="C26" s="231">
        <v>5</v>
      </c>
      <c r="D26" s="232"/>
      <c r="E26" s="248"/>
      <c r="F26" s="233" t="s">
        <v>705</v>
      </c>
      <c r="G26" s="232"/>
      <c r="H26" s="234">
        <f t="shared" si="0"/>
        <v>0</v>
      </c>
      <c r="I26" s="250"/>
    </row>
    <row r="27" spans="1:9" ht="15" customHeight="1">
      <c r="A27" s="1161"/>
      <c r="B27" s="235" t="s">
        <v>732</v>
      </c>
      <c r="C27" s="231">
        <v>5</v>
      </c>
      <c r="D27" s="232"/>
      <c r="E27" s="248" t="s">
        <v>733</v>
      </c>
      <c r="F27" s="233" t="s">
        <v>705</v>
      </c>
      <c r="G27" s="232"/>
      <c r="H27" s="234">
        <f t="shared" si="0"/>
        <v>0</v>
      </c>
      <c r="I27" s="250"/>
    </row>
    <row r="28" spans="1:9" ht="15" customHeight="1">
      <c r="A28" s="1161"/>
      <c r="B28" s="235" t="s">
        <v>734</v>
      </c>
      <c r="C28" s="231">
        <v>5</v>
      </c>
      <c r="D28" s="232"/>
      <c r="E28" s="248"/>
      <c r="F28" s="233" t="s">
        <v>705</v>
      </c>
      <c r="G28" s="232"/>
      <c r="H28" s="234">
        <f t="shared" si="0"/>
        <v>0</v>
      </c>
      <c r="I28" s="250"/>
    </row>
    <row r="29" spans="1:9" ht="15" customHeight="1">
      <c r="A29" s="1161"/>
      <c r="B29" s="235" t="s">
        <v>735</v>
      </c>
      <c r="C29" s="231">
        <v>5</v>
      </c>
      <c r="D29" s="232"/>
      <c r="E29" s="248"/>
      <c r="F29" s="233" t="s">
        <v>705</v>
      </c>
      <c r="G29" s="232"/>
      <c r="H29" s="234">
        <f t="shared" si="0"/>
        <v>0</v>
      </c>
      <c r="I29" s="250"/>
    </row>
    <row r="30" spans="1:9" ht="15" customHeight="1">
      <c r="A30" s="1161"/>
      <c r="B30" s="235" t="s">
        <v>736</v>
      </c>
      <c r="C30" s="231">
        <v>5</v>
      </c>
      <c r="D30" s="232"/>
      <c r="E30" s="248"/>
      <c r="F30" s="233" t="s">
        <v>705</v>
      </c>
      <c r="G30" s="232"/>
      <c r="H30" s="234">
        <f t="shared" si="0"/>
        <v>0</v>
      </c>
      <c r="I30" s="250"/>
    </row>
    <row r="31" spans="1:9" ht="15" customHeight="1">
      <c r="A31" s="1161"/>
      <c r="B31" s="235" t="s">
        <v>737</v>
      </c>
      <c r="C31" s="231">
        <v>5</v>
      </c>
      <c r="D31" s="232"/>
      <c r="E31" s="248"/>
      <c r="F31" s="233" t="s">
        <v>705</v>
      </c>
      <c r="G31" s="232"/>
      <c r="H31" s="234">
        <f t="shared" si="0"/>
        <v>0</v>
      </c>
      <c r="I31" s="250"/>
    </row>
    <row r="32" spans="1:9" ht="15" customHeight="1">
      <c r="A32" s="1161"/>
      <c r="B32" s="235" t="s">
        <v>738</v>
      </c>
      <c r="C32" s="231">
        <v>5</v>
      </c>
      <c r="D32" s="232"/>
      <c r="E32" s="248"/>
      <c r="F32" s="233" t="s">
        <v>705</v>
      </c>
      <c r="G32" s="232"/>
      <c r="H32" s="234">
        <f t="shared" si="0"/>
        <v>0</v>
      </c>
      <c r="I32" s="250"/>
    </row>
    <row r="33" spans="1:9" ht="15" customHeight="1">
      <c r="A33" s="1161"/>
      <c r="B33" s="235" t="s">
        <v>739</v>
      </c>
      <c r="C33" s="231">
        <v>5</v>
      </c>
      <c r="D33" s="232"/>
      <c r="E33" s="248"/>
      <c r="F33" s="233" t="s">
        <v>705</v>
      </c>
      <c r="G33" s="232"/>
      <c r="H33" s="234">
        <f t="shared" si="0"/>
        <v>0</v>
      </c>
      <c r="I33" s="250"/>
    </row>
    <row r="34" spans="1:9" ht="15" customHeight="1">
      <c r="A34" s="1161"/>
      <c r="B34" s="235" t="s">
        <v>740</v>
      </c>
      <c r="C34" s="231">
        <v>5</v>
      </c>
      <c r="D34" s="232"/>
      <c r="E34" s="248"/>
      <c r="F34" s="233" t="s">
        <v>705</v>
      </c>
      <c r="G34" s="232"/>
      <c r="H34" s="234">
        <f t="shared" si="0"/>
        <v>0</v>
      </c>
      <c r="I34" s="250"/>
    </row>
    <row r="35" spans="1:9" ht="15" customHeight="1">
      <c r="A35" s="1161"/>
      <c r="B35" s="235" t="s">
        <v>741</v>
      </c>
      <c r="C35" s="231">
        <v>5</v>
      </c>
      <c r="D35" s="232"/>
      <c r="E35" s="248"/>
      <c r="F35" s="233" t="s">
        <v>705</v>
      </c>
      <c r="G35" s="232"/>
      <c r="H35" s="234">
        <f t="shared" si="0"/>
        <v>0</v>
      </c>
      <c r="I35" s="250"/>
    </row>
    <row r="36" spans="1:9" ht="15" customHeight="1">
      <c r="A36" s="1161"/>
      <c r="B36" s="235" t="s">
        <v>742</v>
      </c>
      <c r="C36" s="231">
        <v>5</v>
      </c>
      <c r="D36" s="232"/>
      <c r="E36" s="248"/>
      <c r="F36" s="233" t="s">
        <v>705</v>
      </c>
      <c r="G36" s="232"/>
      <c r="H36" s="234">
        <f t="shared" si="0"/>
        <v>0</v>
      </c>
      <c r="I36" s="250"/>
    </row>
    <row r="37" spans="1:9" ht="15" customHeight="1">
      <c r="A37" s="1161"/>
      <c r="B37" s="235" t="s">
        <v>743</v>
      </c>
      <c r="C37" s="231">
        <v>5</v>
      </c>
      <c r="D37" s="232"/>
      <c r="E37" s="248"/>
      <c r="F37" s="233" t="s">
        <v>705</v>
      </c>
      <c r="G37" s="232"/>
      <c r="H37" s="234">
        <f t="shared" si="0"/>
        <v>0</v>
      </c>
      <c r="I37" s="250"/>
    </row>
    <row r="38" spans="1:9" ht="15" customHeight="1">
      <c r="A38" s="1161"/>
      <c r="B38" s="235" t="s">
        <v>744</v>
      </c>
      <c r="C38" s="231">
        <v>5</v>
      </c>
      <c r="D38" s="232"/>
      <c r="E38" s="248"/>
      <c r="F38" s="233" t="s">
        <v>705</v>
      </c>
      <c r="G38" s="232"/>
      <c r="H38" s="234">
        <f t="shared" si="0"/>
        <v>0</v>
      </c>
      <c r="I38" s="250"/>
    </row>
    <row r="39" spans="1:9" ht="15" customHeight="1">
      <c r="A39" s="1161"/>
      <c r="B39" s="235" t="s">
        <v>745</v>
      </c>
      <c r="C39" s="231">
        <v>30</v>
      </c>
      <c r="D39" s="232"/>
      <c r="E39" s="248" t="s">
        <v>746</v>
      </c>
      <c r="F39" s="233" t="s">
        <v>705</v>
      </c>
      <c r="G39" s="232"/>
      <c r="H39" s="234">
        <f t="shared" si="0"/>
        <v>0</v>
      </c>
      <c r="I39" s="250"/>
    </row>
    <row r="40" spans="1:9" ht="15" customHeight="1">
      <c r="A40" s="237" t="s">
        <v>747</v>
      </c>
      <c r="B40" s="238" t="s">
        <v>16</v>
      </c>
      <c r="C40" s="239">
        <f>SUM(C5:C39)</f>
        <v>200</v>
      </c>
      <c r="D40" s="238" t="s">
        <v>16</v>
      </c>
      <c r="E40" s="238" t="s">
        <v>16</v>
      </c>
      <c r="F40" s="238"/>
      <c r="G40" s="238" t="s">
        <v>16</v>
      </c>
      <c r="H40" s="240">
        <f>SUM(H5:H39)</f>
        <v>7</v>
      </c>
      <c r="I40" s="250"/>
    </row>
    <row r="41" spans="1:9" ht="24.75" customHeight="1" thickBot="1">
      <c r="A41" s="241" t="s">
        <v>748</v>
      </c>
      <c r="B41" s="1162" t="s">
        <v>749</v>
      </c>
      <c r="C41" s="1163"/>
      <c r="D41" s="1163"/>
      <c r="E41" s="1163"/>
      <c r="F41" s="1163"/>
      <c r="G41" s="1163"/>
      <c r="H41" s="1163"/>
      <c r="I41" s="1164"/>
    </row>
  </sheetData>
  <mergeCells count="4">
    <mergeCell ref="A1:I1"/>
    <mergeCell ref="A2:I2"/>
    <mergeCell ref="A4:A39"/>
    <mergeCell ref="B41:I41"/>
  </mergeCells>
  <phoneticPr fontId="5" type="noConversion"/>
  <dataValidations count="2">
    <dataValidation showDropDown="1" showInputMessage="1" showErrorMessage="1" sqref="F4:F39"/>
    <dataValidation type="list" allowBlank="1" showInputMessage="1" showErrorMessage="1" sqref="G4:G39 D4:D39">
      <formula1>"1"</formula1>
    </dataValidation>
  </dataValidation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opLeftCell="A16" workbookViewId="0">
      <selection activeCell="A33" sqref="A33:A36"/>
    </sheetView>
  </sheetViews>
  <sheetFormatPr defaultRowHeight="13.5"/>
  <cols>
    <col min="1" max="1" width="13.125" style="551" customWidth="1"/>
    <col min="2" max="3" width="15.125" style="551" customWidth="1"/>
    <col min="4" max="4" width="12.875" style="551" customWidth="1"/>
    <col min="5" max="5" width="8.75" style="551" hidden="1" customWidth="1"/>
    <col min="6" max="6" width="8.25" style="604" customWidth="1"/>
    <col min="7" max="7" width="8.625" style="604" customWidth="1"/>
    <col min="8" max="8" width="11.25" style="551" customWidth="1"/>
    <col min="9" max="9" width="7.625" style="605" customWidth="1"/>
    <col min="10" max="10" width="12.125" style="551" customWidth="1"/>
    <col min="11" max="13" width="9" style="551"/>
    <col min="14" max="14" width="10.625" style="551" customWidth="1"/>
    <col min="15" max="15" width="19.25" style="551" customWidth="1"/>
    <col min="16" max="16" width="26.25" style="551" customWidth="1"/>
    <col min="17" max="17" width="29.25" style="551" customWidth="1"/>
    <col min="18" max="16384" width="9" style="551"/>
  </cols>
  <sheetData>
    <row r="1" spans="1:17">
      <c r="A1" s="1167" t="s">
        <v>955</v>
      </c>
      <c r="B1" s="1167"/>
      <c r="C1" s="1167"/>
      <c r="D1" s="1167"/>
      <c r="E1" s="1167"/>
      <c r="F1" s="1167"/>
      <c r="G1" s="1167"/>
      <c r="H1" s="1167"/>
      <c r="I1" s="1167"/>
      <c r="J1" s="1167"/>
      <c r="K1" s="1167"/>
      <c r="L1" s="1167"/>
      <c r="M1" s="1167"/>
      <c r="N1" s="1167"/>
      <c r="O1" s="1167"/>
      <c r="P1" s="1167"/>
      <c r="Q1" s="1167"/>
    </row>
    <row r="2" spans="1:17" ht="14.25" thickBot="1">
      <c r="A2" s="1167"/>
      <c r="B2" s="1167"/>
      <c r="C2" s="1167"/>
      <c r="D2" s="1167"/>
      <c r="E2" s="1167"/>
      <c r="F2" s="1167"/>
      <c r="G2" s="1167"/>
      <c r="H2" s="1167"/>
      <c r="I2" s="1167"/>
      <c r="J2" s="1167"/>
      <c r="K2" s="1167"/>
      <c r="L2" s="1167"/>
      <c r="M2" s="1167"/>
      <c r="N2" s="1167"/>
      <c r="O2" s="1167"/>
      <c r="P2" s="1167"/>
      <c r="Q2" s="1167"/>
    </row>
    <row r="3" spans="1:17" ht="18" customHeight="1">
      <c r="A3" s="1168" t="s">
        <v>953</v>
      </c>
      <c r="B3" s="1170" t="s">
        <v>954</v>
      </c>
      <c r="C3" s="1172" t="s">
        <v>829</v>
      </c>
      <c r="D3" s="1172"/>
      <c r="E3" s="1170" t="s">
        <v>830</v>
      </c>
      <c r="F3" s="1173" t="s">
        <v>831</v>
      </c>
      <c r="G3" s="1173" t="s">
        <v>832</v>
      </c>
      <c r="H3" s="1172" t="s">
        <v>833</v>
      </c>
      <c r="I3" s="1173" t="s">
        <v>834</v>
      </c>
      <c r="J3" s="1172" t="s">
        <v>835</v>
      </c>
      <c r="K3" s="1172" t="s">
        <v>836</v>
      </c>
      <c r="L3" s="1172" t="s">
        <v>231</v>
      </c>
      <c r="M3" s="1172" t="s">
        <v>837</v>
      </c>
      <c r="N3" s="1170" t="s">
        <v>838</v>
      </c>
      <c r="O3" s="1172" t="s">
        <v>839</v>
      </c>
      <c r="P3" s="1172" t="s">
        <v>840</v>
      </c>
      <c r="Q3" s="1188" t="s">
        <v>841</v>
      </c>
    </row>
    <row r="4" spans="1:17" ht="18.75" customHeight="1" thickBot="1">
      <c r="A4" s="1169"/>
      <c r="B4" s="1171"/>
      <c r="C4" s="552" t="s">
        <v>842</v>
      </c>
      <c r="D4" s="552" t="s">
        <v>843</v>
      </c>
      <c r="E4" s="1171"/>
      <c r="F4" s="1174"/>
      <c r="G4" s="1174"/>
      <c r="H4" s="1175"/>
      <c r="I4" s="1174"/>
      <c r="J4" s="1175"/>
      <c r="K4" s="1175"/>
      <c r="L4" s="1175"/>
      <c r="M4" s="1175"/>
      <c r="N4" s="1171"/>
      <c r="O4" s="1175"/>
      <c r="P4" s="1175"/>
      <c r="Q4" s="1189"/>
    </row>
    <row r="5" spans="1:17" ht="24">
      <c r="A5" s="553" t="s">
        <v>844</v>
      </c>
      <c r="B5" s="554" t="s">
        <v>845</v>
      </c>
      <c r="C5" s="555" t="s">
        <v>846</v>
      </c>
      <c r="D5" s="555">
        <v>5000</v>
      </c>
      <c r="E5" s="556"/>
      <c r="F5" s="557" t="s">
        <v>847</v>
      </c>
      <c r="G5" s="557" t="s">
        <v>847</v>
      </c>
      <c r="H5" s="558">
        <v>2</v>
      </c>
      <c r="I5" s="559" t="s">
        <v>847</v>
      </c>
      <c r="J5" s="555">
        <f>D5*H5</f>
        <v>10000</v>
      </c>
      <c r="K5" s="558" t="s">
        <v>848</v>
      </c>
      <c r="L5" s="560" t="s">
        <v>849</v>
      </c>
      <c r="M5" s="560" t="s">
        <v>850</v>
      </c>
      <c r="N5" s="561"/>
      <c r="O5" s="562" t="s">
        <v>851</v>
      </c>
      <c r="P5" s="562"/>
      <c r="Q5" s="563"/>
    </row>
    <row r="6" spans="1:17" ht="56.25" customHeight="1">
      <c r="A6" s="564" t="s">
        <v>852</v>
      </c>
      <c r="B6" s="587" t="s">
        <v>956</v>
      </c>
      <c r="C6" s="566" t="s">
        <v>847</v>
      </c>
      <c r="D6" s="566">
        <v>200</v>
      </c>
      <c r="E6" s="567" t="e">
        <f>IF(#REF!&lt;=500,(H6/12*1)+H6,IF(#REF!&lt;=1000,(H6/12*3)+H6,IF(#REF!&lt;=3000,(H6/12*6)+H6,IF(#REF!&lt;=5000,(H6/12*9)+H6,IF(#REF!&lt;=10000,(H6/12*12)+H6,IF(#REF!&gt;10000,(H6/12*15)+H6))))))</f>
        <v>#REF!</v>
      </c>
      <c r="F6" s="567"/>
      <c r="G6" s="567">
        <v>12</v>
      </c>
      <c r="H6" s="568">
        <f>F6*G6</f>
        <v>0</v>
      </c>
      <c r="I6" s="569">
        <f>IF(F6&lt;=500,1,IF(F6&lt;=1000,3,IF(F6&lt;=3000,6,IF(F6&lt;=5000,9,IF(F6&lt;=10000,12,IF(F6&gt;10000,15))))))</f>
        <v>1</v>
      </c>
      <c r="J6" s="566">
        <f>D6*H6</f>
        <v>0</v>
      </c>
      <c r="K6" s="568">
        <v>120</v>
      </c>
      <c r="L6" s="570" t="s">
        <v>853</v>
      </c>
      <c r="M6" s="570" t="s">
        <v>850</v>
      </c>
      <c r="N6" s="617" t="s">
        <v>960</v>
      </c>
      <c r="O6" s="619" t="s">
        <v>957</v>
      </c>
      <c r="P6" s="618" t="s">
        <v>958</v>
      </c>
      <c r="Q6" s="618" t="s">
        <v>959</v>
      </c>
    </row>
    <row r="7" spans="1:17" s="573" customFormat="1" ht="26.25" customHeight="1">
      <c r="A7" s="1190" t="s">
        <v>854</v>
      </c>
      <c r="B7" s="1193" t="s">
        <v>855</v>
      </c>
      <c r="C7" s="568" t="s">
        <v>856</v>
      </c>
      <c r="D7" s="566">
        <v>0</v>
      </c>
      <c r="E7" s="1196" t="e">
        <f>IF(#REF!&lt;=500,(H7/12*1)+H7,IF(#REF!&lt;=1000,(H7/12*3)+H7,IF(#REF!&lt;=3000,(H7/12*6)+H7,IF(#REF!&lt;=5000,(H7/12*9)+H7,IF(#REF!&lt;=10000,(H7/12*12)+H7,IF(#REF!&gt;10000,(H7/12*15)+H7))))))</f>
        <v>#REF!</v>
      </c>
      <c r="F7" s="1196"/>
      <c r="G7" s="1196">
        <v>12</v>
      </c>
      <c r="H7" s="1211">
        <f>F7*G7</f>
        <v>0</v>
      </c>
      <c r="I7" s="1214" t="s">
        <v>847</v>
      </c>
      <c r="J7" s="1217">
        <v>0</v>
      </c>
      <c r="K7" s="1211">
        <v>360</v>
      </c>
      <c r="L7" s="1176" t="s">
        <v>853</v>
      </c>
      <c r="M7" s="1176" t="s">
        <v>850</v>
      </c>
      <c r="N7" s="1179" t="s">
        <v>857</v>
      </c>
      <c r="O7" s="1182" t="s">
        <v>858</v>
      </c>
      <c r="P7" s="1182"/>
      <c r="Q7" s="1185"/>
    </row>
    <row r="8" spans="1:17" s="573" customFormat="1" ht="21" customHeight="1">
      <c r="A8" s="1191"/>
      <c r="B8" s="1194"/>
      <c r="C8" s="568" t="s">
        <v>859</v>
      </c>
      <c r="D8" s="566">
        <v>0</v>
      </c>
      <c r="E8" s="1197"/>
      <c r="F8" s="1197"/>
      <c r="G8" s="1197"/>
      <c r="H8" s="1212"/>
      <c r="I8" s="1215"/>
      <c r="J8" s="1218"/>
      <c r="K8" s="1212"/>
      <c r="L8" s="1177"/>
      <c r="M8" s="1177"/>
      <c r="N8" s="1180"/>
      <c r="O8" s="1183"/>
      <c r="P8" s="1183"/>
      <c r="Q8" s="1186"/>
    </row>
    <row r="9" spans="1:17" s="573" customFormat="1" ht="23.25" customHeight="1">
      <c r="A9" s="1192"/>
      <c r="B9" s="1195"/>
      <c r="C9" s="568" t="s">
        <v>860</v>
      </c>
      <c r="D9" s="566">
        <v>0</v>
      </c>
      <c r="E9" s="1198"/>
      <c r="F9" s="1198"/>
      <c r="G9" s="1198"/>
      <c r="H9" s="1213"/>
      <c r="I9" s="1216"/>
      <c r="J9" s="1219"/>
      <c r="K9" s="1213"/>
      <c r="L9" s="1178"/>
      <c r="M9" s="1178"/>
      <c r="N9" s="1181"/>
      <c r="O9" s="1184"/>
      <c r="P9" s="1184"/>
      <c r="Q9" s="1187"/>
    </row>
    <row r="10" spans="1:17" ht="24">
      <c r="A10" s="1190" t="s">
        <v>861</v>
      </c>
      <c r="B10" s="565" t="s">
        <v>862</v>
      </c>
      <c r="C10" s="566" t="s">
        <v>846</v>
      </c>
      <c r="D10" s="566" t="s">
        <v>846</v>
      </c>
      <c r="E10" s="574"/>
      <c r="F10" s="567"/>
      <c r="G10" s="567">
        <v>12</v>
      </c>
      <c r="H10" s="568" t="s">
        <v>846</v>
      </c>
      <c r="I10" s="569" t="s">
        <v>847</v>
      </c>
      <c r="J10" s="568" t="s">
        <v>846</v>
      </c>
      <c r="K10" s="566" t="s">
        <v>846</v>
      </c>
      <c r="L10" s="570" t="s">
        <v>853</v>
      </c>
      <c r="M10" s="570" t="s">
        <v>850</v>
      </c>
      <c r="N10" s="1199" t="s">
        <v>961</v>
      </c>
      <c r="O10" s="575"/>
      <c r="P10" s="576" t="s">
        <v>863</v>
      </c>
      <c r="Q10" s="577" t="s">
        <v>863</v>
      </c>
    </row>
    <row r="11" spans="1:17" ht="24">
      <c r="A11" s="1191"/>
      <c r="B11" s="565" t="s">
        <v>864</v>
      </c>
      <c r="C11" s="568" t="s">
        <v>846</v>
      </c>
      <c r="D11" s="566" t="s">
        <v>846</v>
      </c>
      <c r="E11" s="574"/>
      <c r="F11" s="567"/>
      <c r="G11" s="567">
        <v>12</v>
      </c>
      <c r="H11" s="568" t="s">
        <v>846</v>
      </c>
      <c r="I11" s="569" t="s">
        <v>847</v>
      </c>
      <c r="J11" s="568" t="s">
        <v>846</v>
      </c>
      <c r="K11" s="566" t="s">
        <v>846</v>
      </c>
      <c r="L11" s="570" t="s">
        <v>853</v>
      </c>
      <c r="M11" s="570" t="s">
        <v>850</v>
      </c>
      <c r="N11" s="1200"/>
      <c r="O11" s="575"/>
      <c r="P11" s="576" t="s">
        <v>863</v>
      </c>
      <c r="Q11" s="577" t="s">
        <v>863</v>
      </c>
    </row>
    <row r="12" spans="1:17">
      <c r="A12" s="1191"/>
      <c r="B12" s="565" t="s">
        <v>865</v>
      </c>
      <c r="C12" s="568" t="s">
        <v>846</v>
      </c>
      <c r="D12" s="566" t="s">
        <v>846</v>
      </c>
      <c r="E12" s="574"/>
      <c r="F12" s="567"/>
      <c r="G12" s="567">
        <v>12</v>
      </c>
      <c r="H12" s="568" t="s">
        <v>846</v>
      </c>
      <c r="I12" s="569" t="s">
        <v>847</v>
      </c>
      <c r="J12" s="568" t="s">
        <v>846</v>
      </c>
      <c r="K12" s="566" t="s">
        <v>846</v>
      </c>
      <c r="L12" s="570" t="s">
        <v>853</v>
      </c>
      <c r="M12" s="570" t="s">
        <v>850</v>
      </c>
      <c r="N12" s="1200"/>
      <c r="O12" s="575"/>
      <c r="P12" s="572" t="s">
        <v>866</v>
      </c>
      <c r="Q12" s="578" t="s">
        <v>867</v>
      </c>
    </row>
    <row r="13" spans="1:17">
      <c r="A13" s="1191"/>
      <c r="B13" s="565" t="s">
        <v>868</v>
      </c>
      <c r="C13" s="568" t="s">
        <v>846</v>
      </c>
      <c r="D13" s="566">
        <v>5</v>
      </c>
      <c r="E13" s="574"/>
      <c r="F13" s="567"/>
      <c r="G13" s="567">
        <v>12</v>
      </c>
      <c r="H13" s="568">
        <f>F13*G13</f>
        <v>0</v>
      </c>
      <c r="I13" s="569">
        <f>IF(F13&lt;=500,1,IF(F13&lt;=1000,3,IF(F13&lt;=3000,6,IF(F13&lt;=5000,9,IF(F13&lt;=10000,12,IF(F13&gt;10000,15))))))</f>
        <v>1</v>
      </c>
      <c r="J13" s="566">
        <f>D13*H13</f>
        <v>0</v>
      </c>
      <c r="K13" s="568">
        <v>360</v>
      </c>
      <c r="L13" s="570" t="s">
        <v>853</v>
      </c>
      <c r="M13" s="570" t="s">
        <v>850</v>
      </c>
      <c r="N13" s="1200"/>
      <c r="O13" s="575"/>
      <c r="P13" s="576" t="s">
        <v>866</v>
      </c>
      <c r="Q13" s="577" t="s">
        <v>869</v>
      </c>
    </row>
    <row r="14" spans="1:17">
      <c r="A14" s="1191"/>
      <c r="B14" s="565" t="s">
        <v>870</v>
      </c>
      <c r="C14" s="568" t="s">
        <v>846</v>
      </c>
      <c r="D14" s="566">
        <v>5</v>
      </c>
      <c r="E14" s="574"/>
      <c r="F14" s="567"/>
      <c r="G14" s="567">
        <v>12</v>
      </c>
      <c r="H14" s="568">
        <f>F14*G14</f>
        <v>0</v>
      </c>
      <c r="I14" s="569">
        <f>IF(F14&lt;=500,1,IF(F14&lt;=1000,3,IF(F14&lt;=3000,6,IF(F14&lt;=5000,9,IF(F14&lt;=10000,12,IF(F14&gt;10000,15))))))</f>
        <v>1</v>
      </c>
      <c r="J14" s="566">
        <f>D14*H14</f>
        <v>0</v>
      </c>
      <c r="K14" s="568">
        <v>360</v>
      </c>
      <c r="L14" s="570" t="s">
        <v>853</v>
      </c>
      <c r="M14" s="570" t="s">
        <v>850</v>
      </c>
      <c r="N14" s="1200"/>
      <c r="O14" s="575"/>
      <c r="P14" s="576" t="s">
        <v>866</v>
      </c>
      <c r="Q14" s="577" t="s">
        <v>871</v>
      </c>
    </row>
    <row r="15" spans="1:17" ht="96">
      <c r="A15" s="1192"/>
      <c r="B15" s="565" t="s">
        <v>872</v>
      </c>
      <c r="C15" s="568" t="s">
        <v>846</v>
      </c>
      <c r="D15" s="566">
        <v>35</v>
      </c>
      <c r="E15" s="574"/>
      <c r="F15" s="567"/>
      <c r="G15" s="567">
        <v>12</v>
      </c>
      <c r="H15" s="568">
        <f>F15*G15</f>
        <v>0</v>
      </c>
      <c r="I15" s="569">
        <f>IF(F15&lt;=500,1,IF(F15&lt;=1000,3,IF(F15&lt;=3000,6,IF(F15&lt;=5000,9,IF(F15&lt;=10000,12,IF(F15&gt;10000,15))))))</f>
        <v>1</v>
      </c>
      <c r="J15" s="566">
        <f>D15*H15</f>
        <v>0</v>
      </c>
      <c r="K15" s="568">
        <v>120</v>
      </c>
      <c r="L15" s="570" t="s">
        <v>853</v>
      </c>
      <c r="M15" s="570" t="s">
        <v>850</v>
      </c>
      <c r="N15" s="1201"/>
      <c r="O15" s="575" t="s">
        <v>873</v>
      </c>
      <c r="P15" s="576" t="s">
        <v>866</v>
      </c>
      <c r="Q15" s="577" t="s">
        <v>874</v>
      </c>
    </row>
    <row r="16" spans="1:17">
      <c r="A16" s="1202" t="s">
        <v>875</v>
      </c>
      <c r="B16" s="565" t="s">
        <v>876</v>
      </c>
      <c r="C16" s="568" t="s">
        <v>846</v>
      </c>
      <c r="D16" s="566" t="s">
        <v>846</v>
      </c>
      <c r="E16" s="574"/>
      <c r="F16" s="567"/>
      <c r="G16" s="567">
        <v>12</v>
      </c>
      <c r="H16" s="568" t="s">
        <v>846</v>
      </c>
      <c r="I16" s="569" t="s">
        <v>847</v>
      </c>
      <c r="J16" s="566" t="s">
        <v>846</v>
      </c>
      <c r="K16" s="568" t="s">
        <v>846</v>
      </c>
      <c r="L16" s="570" t="s">
        <v>853</v>
      </c>
      <c r="M16" s="570" t="s">
        <v>850</v>
      </c>
      <c r="N16" s="1199" t="s">
        <v>962</v>
      </c>
      <c r="O16" s="1203"/>
      <c r="P16" s="572" t="s">
        <v>877</v>
      </c>
      <c r="Q16" s="578" t="s">
        <v>877</v>
      </c>
    </row>
    <row r="17" spans="1:17">
      <c r="A17" s="1202"/>
      <c r="B17" s="565" t="s">
        <v>878</v>
      </c>
      <c r="C17" s="568" t="s">
        <v>846</v>
      </c>
      <c r="D17" s="566" t="s">
        <v>846</v>
      </c>
      <c r="E17" s="574"/>
      <c r="F17" s="567"/>
      <c r="G17" s="567">
        <v>12</v>
      </c>
      <c r="H17" s="568" t="s">
        <v>846</v>
      </c>
      <c r="I17" s="569"/>
      <c r="J17" s="566" t="s">
        <v>846</v>
      </c>
      <c r="K17" s="568" t="s">
        <v>846</v>
      </c>
      <c r="L17" s="570" t="s">
        <v>853</v>
      </c>
      <c r="M17" s="570" t="s">
        <v>850</v>
      </c>
      <c r="N17" s="1201"/>
      <c r="O17" s="1203"/>
      <c r="P17" s="572" t="s">
        <v>879</v>
      </c>
      <c r="Q17" s="578" t="s">
        <v>879</v>
      </c>
    </row>
    <row r="18" spans="1:17">
      <c r="A18" s="1202" t="s">
        <v>880</v>
      </c>
      <c r="B18" s="1204" t="s">
        <v>881</v>
      </c>
      <c r="C18" s="568" t="s">
        <v>856</v>
      </c>
      <c r="D18" s="566">
        <v>5</v>
      </c>
      <c r="E18" s="1206"/>
      <c r="F18" s="1196"/>
      <c r="G18" s="1196">
        <v>12</v>
      </c>
      <c r="H18" s="1221">
        <f>F18*G18</f>
        <v>0</v>
      </c>
      <c r="I18" s="1214">
        <f>IF(F18&lt;=500,1,IF(F18&lt;=1000,3,IF(F18&lt;=3000,6,IF(F18&lt;=5000,9,IF(F18&lt;=10000,12,IF(F18&gt;10000,15))))))</f>
        <v>1</v>
      </c>
      <c r="J18" s="1222">
        <f>IF(H18&lt;=24000,H18*5,IF(H18&lt;=60000,24000*5+(H18-24000)*4,IF(H18&gt;60000,24000*5+36000*4+(H18-60000)*3)))</f>
        <v>0</v>
      </c>
      <c r="K18" s="1221">
        <v>360</v>
      </c>
      <c r="L18" s="1223" t="s">
        <v>853</v>
      </c>
      <c r="M18" s="1223" t="s">
        <v>850</v>
      </c>
      <c r="N18" s="1199" t="s">
        <v>882</v>
      </c>
      <c r="O18" s="1209" t="s">
        <v>883</v>
      </c>
      <c r="P18" s="1210" t="s">
        <v>884</v>
      </c>
      <c r="Q18" s="1220" t="s">
        <v>885</v>
      </c>
    </row>
    <row r="19" spans="1:17">
      <c r="A19" s="1202"/>
      <c r="B19" s="1205"/>
      <c r="C19" s="568" t="s">
        <v>859</v>
      </c>
      <c r="D19" s="566">
        <v>4</v>
      </c>
      <c r="E19" s="1207"/>
      <c r="F19" s="1197"/>
      <c r="G19" s="1197"/>
      <c r="H19" s="1221"/>
      <c r="I19" s="1215"/>
      <c r="J19" s="1222"/>
      <c r="K19" s="1221"/>
      <c r="L19" s="1223"/>
      <c r="M19" s="1223"/>
      <c r="N19" s="1200"/>
      <c r="O19" s="1209"/>
      <c r="P19" s="1210"/>
      <c r="Q19" s="1220"/>
    </row>
    <row r="20" spans="1:17">
      <c r="A20" s="1202"/>
      <c r="B20" s="1205"/>
      <c r="C20" s="568" t="s">
        <v>860</v>
      </c>
      <c r="D20" s="566">
        <v>3</v>
      </c>
      <c r="E20" s="1208"/>
      <c r="F20" s="1198"/>
      <c r="G20" s="1198"/>
      <c r="H20" s="1221"/>
      <c r="I20" s="1216"/>
      <c r="J20" s="1222"/>
      <c r="K20" s="1221"/>
      <c r="L20" s="1223"/>
      <c r="M20" s="1223"/>
      <c r="N20" s="1201"/>
      <c r="O20" s="1209"/>
      <c r="P20" s="1210"/>
      <c r="Q20" s="1220"/>
    </row>
    <row r="21" spans="1:17">
      <c r="A21" s="1202" t="s">
        <v>886</v>
      </c>
      <c r="B21" s="1204" t="s">
        <v>887</v>
      </c>
      <c r="C21" s="568" t="s">
        <v>856</v>
      </c>
      <c r="D21" s="566">
        <v>3</v>
      </c>
      <c r="E21" s="1206"/>
      <c r="F21" s="1196"/>
      <c r="G21" s="1196">
        <v>12</v>
      </c>
      <c r="H21" s="1221">
        <f>F21*G21</f>
        <v>0</v>
      </c>
      <c r="I21" s="1214">
        <f>IF(F21&lt;=500,1,IF(F21&lt;=1000,3,IF(F21&lt;=3000,6,IF(F21&lt;=5000,9,IF(F21&lt;=10000,12,IF(F21&gt;10000,15))))))</f>
        <v>1</v>
      </c>
      <c r="J21" s="1222">
        <f>IF(H21&lt;=24000,H21*3,IF(H21&lt;=60000,24000*3+(H21-24000)*2,IF(H21&gt;60000,24000*3+36000*2+(H21-60000)*1.5)))</f>
        <v>0</v>
      </c>
      <c r="K21" s="1221">
        <v>360</v>
      </c>
      <c r="L21" s="1223" t="s">
        <v>853</v>
      </c>
      <c r="M21" s="1223" t="s">
        <v>850</v>
      </c>
      <c r="N21" s="1199" t="s">
        <v>882</v>
      </c>
      <c r="O21" s="1209" t="s">
        <v>888</v>
      </c>
      <c r="P21" s="1210" t="s">
        <v>889</v>
      </c>
      <c r="Q21" s="1220" t="s">
        <v>890</v>
      </c>
    </row>
    <row r="22" spans="1:17">
      <c r="A22" s="1202"/>
      <c r="B22" s="1205"/>
      <c r="C22" s="568" t="s">
        <v>859</v>
      </c>
      <c r="D22" s="566">
        <v>2</v>
      </c>
      <c r="E22" s="1207"/>
      <c r="F22" s="1197"/>
      <c r="G22" s="1197"/>
      <c r="H22" s="1221"/>
      <c r="I22" s="1215"/>
      <c r="J22" s="1222"/>
      <c r="K22" s="1221"/>
      <c r="L22" s="1223"/>
      <c r="M22" s="1223"/>
      <c r="N22" s="1200"/>
      <c r="O22" s="1209"/>
      <c r="P22" s="1210"/>
      <c r="Q22" s="1220"/>
    </row>
    <row r="23" spans="1:17">
      <c r="A23" s="1202"/>
      <c r="B23" s="1205"/>
      <c r="C23" s="568" t="s">
        <v>860</v>
      </c>
      <c r="D23" s="566">
        <v>1.5</v>
      </c>
      <c r="E23" s="1208"/>
      <c r="F23" s="1198"/>
      <c r="G23" s="1198"/>
      <c r="H23" s="1221"/>
      <c r="I23" s="1216"/>
      <c r="J23" s="1222"/>
      <c r="K23" s="1221"/>
      <c r="L23" s="1223"/>
      <c r="M23" s="1223"/>
      <c r="N23" s="1201"/>
      <c r="O23" s="1209"/>
      <c r="P23" s="1210"/>
      <c r="Q23" s="1220"/>
    </row>
    <row r="24" spans="1:17" ht="33.75">
      <c r="A24" s="1190" t="s">
        <v>891</v>
      </c>
      <c r="B24" s="565" t="s">
        <v>892</v>
      </c>
      <c r="C24" s="566" t="s">
        <v>846</v>
      </c>
      <c r="D24" s="566">
        <v>10</v>
      </c>
      <c r="E24" s="574"/>
      <c r="F24" s="567"/>
      <c r="G24" s="567">
        <v>12</v>
      </c>
      <c r="H24" s="568">
        <f>F24*G24</f>
        <v>0</v>
      </c>
      <c r="I24" s="569">
        <f>IF(F24&lt;=500,1,IF(F24&lt;=1000,3,IF(F24&lt;=3000,6,IF(F24&lt;=5000,9,IF(F24&lt;=10000,12,IF(F24&gt;10000,15))))))</f>
        <v>1</v>
      </c>
      <c r="J24" s="566">
        <f t="shared" ref="J24:J37" si="0">D24*H24</f>
        <v>0</v>
      </c>
      <c r="K24" s="568">
        <v>120</v>
      </c>
      <c r="L24" s="570" t="s">
        <v>853</v>
      </c>
      <c r="M24" s="570" t="s">
        <v>850</v>
      </c>
      <c r="N24" s="580" t="s">
        <v>893</v>
      </c>
      <c r="O24" s="575"/>
      <c r="P24" s="581" t="s">
        <v>894</v>
      </c>
      <c r="Q24" s="582" t="s">
        <v>894</v>
      </c>
    </row>
    <row r="25" spans="1:17">
      <c r="A25" s="1191"/>
      <c r="B25" s="565" t="s">
        <v>895</v>
      </c>
      <c r="C25" s="566" t="s">
        <v>846</v>
      </c>
      <c r="D25" s="566">
        <v>10</v>
      </c>
      <c r="E25" s="574"/>
      <c r="F25" s="567"/>
      <c r="G25" s="567">
        <v>12</v>
      </c>
      <c r="H25" s="568">
        <f t="shared" ref="H25:H37" si="1">F25*G25</f>
        <v>0</v>
      </c>
      <c r="I25" s="569">
        <f t="shared" ref="I25:I37" si="2">IF(F25&lt;=500,1,IF(F25&lt;=1000,3,IF(F25&lt;=3000,6,IF(F25&lt;=5000,9,IF(F25&lt;=10000,12,IF(F25&gt;10000,15))))))</f>
        <v>1</v>
      </c>
      <c r="J25" s="566">
        <f t="shared" si="0"/>
        <v>0</v>
      </c>
      <c r="K25" s="568">
        <v>120</v>
      </c>
      <c r="L25" s="570" t="s">
        <v>853</v>
      </c>
      <c r="M25" s="570" t="s">
        <v>850</v>
      </c>
      <c r="N25" s="1199" t="s">
        <v>963</v>
      </c>
      <c r="O25" s="583"/>
      <c r="P25" s="576" t="s">
        <v>896</v>
      </c>
      <c r="Q25" s="577" t="s">
        <v>896</v>
      </c>
    </row>
    <row r="26" spans="1:17">
      <c r="A26" s="1191"/>
      <c r="B26" s="565" t="s">
        <v>897</v>
      </c>
      <c r="C26" s="566" t="s">
        <v>846</v>
      </c>
      <c r="D26" s="566">
        <v>10</v>
      </c>
      <c r="E26" s="574"/>
      <c r="F26" s="567"/>
      <c r="G26" s="567">
        <v>12</v>
      </c>
      <c r="H26" s="568">
        <f t="shared" si="1"/>
        <v>0</v>
      </c>
      <c r="I26" s="569">
        <f t="shared" si="2"/>
        <v>1</v>
      </c>
      <c r="J26" s="566">
        <f t="shared" si="0"/>
        <v>0</v>
      </c>
      <c r="K26" s="568">
        <v>120</v>
      </c>
      <c r="L26" s="570" t="s">
        <v>853</v>
      </c>
      <c r="M26" s="570" t="s">
        <v>850</v>
      </c>
      <c r="N26" s="1200"/>
      <c r="O26" s="584"/>
      <c r="P26" s="585" t="s">
        <v>898</v>
      </c>
      <c r="Q26" s="586" t="s">
        <v>899</v>
      </c>
    </row>
    <row r="27" spans="1:17">
      <c r="A27" s="1191"/>
      <c r="B27" s="565" t="s">
        <v>900</v>
      </c>
      <c r="C27" s="566" t="s">
        <v>846</v>
      </c>
      <c r="D27" s="566">
        <v>10</v>
      </c>
      <c r="E27" s="574"/>
      <c r="F27" s="567"/>
      <c r="G27" s="567">
        <v>12</v>
      </c>
      <c r="H27" s="568">
        <f t="shared" si="1"/>
        <v>0</v>
      </c>
      <c r="I27" s="569">
        <f t="shared" si="2"/>
        <v>1</v>
      </c>
      <c r="J27" s="566">
        <f t="shared" si="0"/>
        <v>0</v>
      </c>
      <c r="K27" s="568">
        <v>120</v>
      </c>
      <c r="L27" s="570" t="s">
        <v>853</v>
      </c>
      <c r="M27" s="570" t="s">
        <v>850</v>
      </c>
      <c r="N27" s="1200"/>
      <c r="O27" s="584"/>
      <c r="P27" s="585" t="s">
        <v>901</v>
      </c>
      <c r="Q27" s="586" t="s">
        <v>901</v>
      </c>
    </row>
    <row r="28" spans="1:17">
      <c r="A28" s="1191"/>
      <c r="B28" s="565" t="s">
        <v>902</v>
      </c>
      <c r="C28" s="566" t="s">
        <v>846</v>
      </c>
      <c r="D28" s="566">
        <v>10</v>
      </c>
      <c r="E28" s="574"/>
      <c r="F28" s="567"/>
      <c r="G28" s="567">
        <v>12</v>
      </c>
      <c r="H28" s="568">
        <f t="shared" si="1"/>
        <v>0</v>
      </c>
      <c r="I28" s="569">
        <f t="shared" si="2"/>
        <v>1</v>
      </c>
      <c r="J28" s="566">
        <f t="shared" si="0"/>
        <v>0</v>
      </c>
      <c r="K28" s="568">
        <v>120</v>
      </c>
      <c r="L28" s="570" t="s">
        <v>853</v>
      </c>
      <c r="M28" s="570" t="s">
        <v>850</v>
      </c>
      <c r="N28" s="1200"/>
      <c r="O28" s="584"/>
      <c r="P28" s="585" t="s">
        <v>896</v>
      </c>
      <c r="Q28" s="586" t="s">
        <v>896</v>
      </c>
    </row>
    <row r="29" spans="1:17">
      <c r="A29" s="1192"/>
      <c r="B29" s="565" t="s">
        <v>903</v>
      </c>
      <c r="C29" s="566" t="s">
        <v>846</v>
      </c>
      <c r="D29" s="566">
        <v>40</v>
      </c>
      <c r="E29" s="574"/>
      <c r="F29" s="567"/>
      <c r="G29" s="567">
        <v>12</v>
      </c>
      <c r="H29" s="568">
        <f t="shared" si="1"/>
        <v>0</v>
      </c>
      <c r="I29" s="569">
        <f t="shared" si="2"/>
        <v>1</v>
      </c>
      <c r="J29" s="566">
        <f t="shared" si="0"/>
        <v>0</v>
      </c>
      <c r="K29" s="568">
        <v>60</v>
      </c>
      <c r="L29" s="570" t="s">
        <v>853</v>
      </c>
      <c r="M29" s="570" t="s">
        <v>850</v>
      </c>
      <c r="N29" s="1201"/>
      <c r="O29" s="584"/>
      <c r="P29" s="585" t="s">
        <v>904</v>
      </c>
      <c r="Q29" s="586" t="s">
        <v>896</v>
      </c>
    </row>
    <row r="30" spans="1:17">
      <c r="A30" s="1190" t="s">
        <v>905</v>
      </c>
      <c r="B30" s="565" t="s">
        <v>906</v>
      </c>
      <c r="C30" s="566"/>
      <c r="D30" s="566">
        <v>5</v>
      </c>
      <c r="E30" s="574"/>
      <c r="F30" s="567"/>
      <c r="G30" s="567">
        <v>12</v>
      </c>
      <c r="H30" s="568">
        <f t="shared" si="1"/>
        <v>0</v>
      </c>
      <c r="I30" s="569">
        <f t="shared" si="2"/>
        <v>1</v>
      </c>
      <c r="J30" s="566">
        <f t="shared" si="0"/>
        <v>0</v>
      </c>
      <c r="K30" s="568">
        <v>120</v>
      </c>
      <c r="L30" s="570" t="s">
        <v>853</v>
      </c>
      <c r="M30" s="570" t="s">
        <v>850</v>
      </c>
      <c r="N30" s="1199" t="s">
        <v>963</v>
      </c>
      <c r="O30" s="584"/>
      <c r="P30" s="585"/>
      <c r="Q30" s="586"/>
    </row>
    <row r="31" spans="1:17">
      <c r="A31" s="1191"/>
      <c r="B31" s="565" t="s">
        <v>907</v>
      </c>
      <c r="C31" s="566" t="s">
        <v>846</v>
      </c>
      <c r="D31" s="566">
        <v>20</v>
      </c>
      <c r="E31" s="574"/>
      <c r="F31" s="567"/>
      <c r="G31" s="567">
        <v>12</v>
      </c>
      <c r="H31" s="568">
        <f t="shared" si="1"/>
        <v>0</v>
      </c>
      <c r="I31" s="569">
        <f t="shared" si="2"/>
        <v>1</v>
      </c>
      <c r="J31" s="566">
        <f t="shared" si="0"/>
        <v>0</v>
      </c>
      <c r="K31" s="568">
        <v>120</v>
      </c>
      <c r="L31" s="570" t="s">
        <v>853</v>
      </c>
      <c r="M31" s="570" t="s">
        <v>850</v>
      </c>
      <c r="N31" s="1201"/>
      <c r="O31" s="575"/>
      <c r="P31" s="581"/>
      <c r="Q31" s="582"/>
    </row>
    <row r="32" spans="1:17" ht="22.5">
      <c r="A32" s="1192"/>
      <c r="B32" s="579" t="s">
        <v>952</v>
      </c>
      <c r="C32" s="566" t="s">
        <v>846</v>
      </c>
      <c r="D32" s="566">
        <v>10</v>
      </c>
      <c r="E32" s="574"/>
      <c r="F32" s="567"/>
      <c r="G32" s="567">
        <v>12</v>
      </c>
      <c r="H32" s="568">
        <f t="shared" si="1"/>
        <v>0</v>
      </c>
      <c r="I32" s="569">
        <f t="shared" si="2"/>
        <v>1</v>
      </c>
      <c r="J32" s="566">
        <f t="shared" si="0"/>
        <v>0</v>
      </c>
      <c r="K32" s="568">
        <v>120</v>
      </c>
      <c r="L32" s="570" t="s">
        <v>853</v>
      </c>
      <c r="M32" s="570" t="s">
        <v>850</v>
      </c>
      <c r="N32" s="571" t="s">
        <v>908</v>
      </c>
      <c r="O32" s="575"/>
      <c r="P32" s="581"/>
      <c r="Q32" s="582"/>
    </row>
    <row r="33" spans="1:17">
      <c r="A33" s="1224" t="s">
        <v>909</v>
      </c>
      <c r="B33" s="587" t="s">
        <v>910</v>
      </c>
      <c r="C33" s="566" t="s">
        <v>846</v>
      </c>
      <c r="D33" s="566">
        <v>10</v>
      </c>
      <c r="E33" s="574"/>
      <c r="F33" s="567"/>
      <c r="G33" s="567">
        <v>12</v>
      </c>
      <c r="H33" s="568">
        <f t="shared" si="1"/>
        <v>0</v>
      </c>
      <c r="I33" s="569">
        <f t="shared" si="2"/>
        <v>1</v>
      </c>
      <c r="J33" s="566">
        <f t="shared" si="0"/>
        <v>0</v>
      </c>
      <c r="K33" s="568">
        <v>120</v>
      </c>
      <c r="L33" s="570" t="s">
        <v>853</v>
      </c>
      <c r="M33" s="570" t="s">
        <v>850</v>
      </c>
      <c r="N33" s="1199" t="s">
        <v>964</v>
      </c>
      <c r="O33" s="584"/>
      <c r="P33" s="588" t="s">
        <v>911</v>
      </c>
      <c r="Q33" s="589" t="s">
        <v>911</v>
      </c>
    </row>
    <row r="34" spans="1:17">
      <c r="A34" s="1224"/>
      <c r="B34" s="587" t="s">
        <v>912</v>
      </c>
      <c r="C34" s="566" t="s">
        <v>846</v>
      </c>
      <c r="D34" s="566">
        <v>10</v>
      </c>
      <c r="E34" s="574"/>
      <c r="F34" s="567"/>
      <c r="G34" s="567">
        <v>12</v>
      </c>
      <c r="H34" s="568">
        <f t="shared" si="1"/>
        <v>0</v>
      </c>
      <c r="I34" s="569">
        <f t="shared" si="2"/>
        <v>1</v>
      </c>
      <c r="J34" s="566">
        <f t="shared" si="0"/>
        <v>0</v>
      </c>
      <c r="K34" s="568">
        <v>360</v>
      </c>
      <c r="L34" s="570" t="s">
        <v>853</v>
      </c>
      <c r="M34" s="570" t="s">
        <v>850</v>
      </c>
      <c r="N34" s="1200"/>
      <c r="O34" s="584"/>
      <c r="P34" s="590" t="s">
        <v>911</v>
      </c>
      <c r="Q34" s="591" t="s">
        <v>911</v>
      </c>
    </row>
    <row r="35" spans="1:17">
      <c r="A35" s="1224"/>
      <c r="B35" s="587" t="s">
        <v>913</v>
      </c>
      <c r="C35" s="566" t="s">
        <v>846</v>
      </c>
      <c r="D35" s="566">
        <v>8</v>
      </c>
      <c r="E35" s="574"/>
      <c r="F35" s="567"/>
      <c r="G35" s="567">
        <v>12</v>
      </c>
      <c r="H35" s="568">
        <f t="shared" si="1"/>
        <v>0</v>
      </c>
      <c r="I35" s="569">
        <f t="shared" si="2"/>
        <v>1</v>
      </c>
      <c r="J35" s="566">
        <f t="shared" si="0"/>
        <v>0</v>
      </c>
      <c r="K35" s="568">
        <v>240</v>
      </c>
      <c r="L35" s="570" t="s">
        <v>853</v>
      </c>
      <c r="M35" s="570" t="s">
        <v>850</v>
      </c>
      <c r="N35" s="1200"/>
      <c r="O35" s="584"/>
      <c r="P35" s="585" t="s">
        <v>914</v>
      </c>
      <c r="Q35" s="586" t="s">
        <v>914</v>
      </c>
    </row>
    <row r="36" spans="1:17">
      <c r="A36" s="1224"/>
      <c r="B36" s="587" t="s">
        <v>915</v>
      </c>
      <c r="C36" s="566" t="s">
        <v>846</v>
      </c>
      <c r="D36" s="566">
        <v>10</v>
      </c>
      <c r="E36" s="574"/>
      <c r="F36" s="567"/>
      <c r="G36" s="567">
        <v>12</v>
      </c>
      <c r="H36" s="568">
        <f t="shared" si="1"/>
        <v>0</v>
      </c>
      <c r="I36" s="569">
        <f t="shared" si="2"/>
        <v>1</v>
      </c>
      <c r="J36" s="566">
        <f t="shared" si="0"/>
        <v>0</v>
      </c>
      <c r="K36" s="568">
        <v>120</v>
      </c>
      <c r="L36" s="570" t="s">
        <v>853</v>
      </c>
      <c r="M36" s="570" t="s">
        <v>850</v>
      </c>
      <c r="N36" s="1201"/>
      <c r="O36" s="584"/>
      <c r="P36" s="585" t="s">
        <v>914</v>
      </c>
      <c r="Q36" s="586" t="s">
        <v>914</v>
      </c>
    </row>
    <row r="37" spans="1:17" ht="22.5">
      <c r="A37" s="592" t="s">
        <v>916</v>
      </c>
      <c r="B37" s="587" t="s">
        <v>917</v>
      </c>
      <c r="C37" s="566" t="s">
        <v>846</v>
      </c>
      <c r="D37" s="566">
        <v>10</v>
      </c>
      <c r="E37" s="574"/>
      <c r="F37" s="567"/>
      <c r="G37" s="567">
        <v>12</v>
      </c>
      <c r="H37" s="568">
        <f t="shared" si="1"/>
        <v>0</v>
      </c>
      <c r="I37" s="569">
        <f t="shared" si="2"/>
        <v>1</v>
      </c>
      <c r="J37" s="566">
        <f t="shared" si="0"/>
        <v>0</v>
      </c>
      <c r="K37" s="568">
        <v>120</v>
      </c>
      <c r="L37" s="570" t="s">
        <v>853</v>
      </c>
      <c r="M37" s="570" t="s">
        <v>850</v>
      </c>
      <c r="N37" s="580" t="s">
        <v>918</v>
      </c>
      <c r="O37" s="584"/>
      <c r="P37" s="585" t="s">
        <v>919</v>
      </c>
      <c r="Q37" s="586" t="s">
        <v>920</v>
      </c>
    </row>
    <row r="38" spans="1:17">
      <c r="A38" s="1225" t="s">
        <v>921</v>
      </c>
      <c r="B38" s="1204" t="s">
        <v>922</v>
      </c>
      <c r="C38" s="568" t="s">
        <v>856</v>
      </c>
      <c r="D38" s="566">
        <v>5</v>
      </c>
      <c r="E38" s="593"/>
      <c r="F38" s="1196"/>
      <c r="G38" s="1196">
        <v>12</v>
      </c>
      <c r="H38" s="1211">
        <f>F38*G38</f>
        <v>0</v>
      </c>
      <c r="I38" s="1214">
        <f>IF(F38&lt;=500,1,IF(F38&lt;=1000,3,IF(F38&lt;=3000,6,IF(F38&lt;=5000,9,IF(F38&lt;=10000,12,IF(F38&gt;10000,15))))))</f>
        <v>1</v>
      </c>
      <c r="J38" s="1222">
        <f>IF(H38&lt;=24000,H38*5,IF(H38&lt;=60000,24000*5+(H38-24000)*4,IF(H38&gt;60000,24000*5+36000*4+(H38-60000)*3)))</f>
        <v>0</v>
      </c>
      <c r="K38" s="1221">
        <v>360</v>
      </c>
      <c r="L38" s="1223" t="s">
        <v>853</v>
      </c>
      <c r="M38" s="1223" t="s">
        <v>850</v>
      </c>
      <c r="N38" s="1199" t="s">
        <v>923</v>
      </c>
      <c r="O38" s="1209"/>
      <c r="P38" s="1182" t="s">
        <v>924</v>
      </c>
      <c r="Q38" s="1185" t="s">
        <v>924</v>
      </c>
    </row>
    <row r="39" spans="1:17">
      <c r="A39" s="1226"/>
      <c r="B39" s="1205"/>
      <c r="C39" s="568" t="s">
        <v>859</v>
      </c>
      <c r="D39" s="566">
        <v>4</v>
      </c>
      <c r="E39" s="594"/>
      <c r="F39" s="1197"/>
      <c r="G39" s="1197"/>
      <c r="H39" s="1212"/>
      <c r="I39" s="1215"/>
      <c r="J39" s="1222"/>
      <c r="K39" s="1221"/>
      <c r="L39" s="1223"/>
      <c r="M39" s="1223"/>
      <c r="N39" s="1200"/>
      <c r="O39" s="1209"/>
      <c r="P39" s="1183"/>
      <c r="Q39" s="1186"/>
    </row>
    <row r="40" spans="1:17">
      <c r="A40" s="1226"/>
      <c r="B40" s="1205"/>
      <c r="C40" s="568" t="s">
        <v>860</v>
      </c>
      <c r="D40" s="566">
        <v>3</v>
      </c>
      <c r="E40" s="595"/>
      <c r="F40" s="1198"/>
      <c r="G40" s="1198"/>
      <c r="H40" s="1213"/>
      <c r="I40" s="1216"/>
      <c r="J40" s="1222"/>
      <c r="K40" s="1221"/>
      <c r="L40" s="1223"/>
      <c r="M40" s="1223"/>
      <c r="N40" s="1201"/>
      <c r="O40" s="1209"/>
      <c r="P40" s="1184"/>
      <c r="Q40" s="1187"/>
    </row>
    <row r="41" spans="1:17" ht="17.25" customHeight="1">
      <c r="A41" s="1227"/>
      <c r="B41" s="606" t="s">
        <v>951</v>
      </c>
      <c r="C41" s="607" t="s">
        <v>946</v>
      </c>
      <c r="D41" s="607">
        <v>20</v>
      </c>
      <c r="E41" s="608"/>
      <c r="F41" s="609"/>
      <c r="G41" s="609">
        <v>12</v>
      </c>
      <c r="H41" s="610">
        <f>F41*G41</f>
        <v>0</v>
      </c>
      <c r="I41" s="611">
        <f>IF(F41&lt;=500,1,IF(F41&lt;=1000,3,IF(F41&lt;=3000,6,IF(F41&lt;=5000,9,IF(F41&lt;=10000,12,IF(F41&gt;10000,15))))))</f>
        <v>1</v>
      </c>
      <c r="J41" s="607">
        <f t="shared" ref="J41" si="3">D41*H41</f>
        <v>0</v>
      </c>
      <c r="K41" s="610">
        <v>120</v>
      </c>
      <c r="L41" s="612" t="s">
        <v>947</v>
      </c>
      <c r="M41" s="612" t="s">
        <v>948</v>
      </c>
      <c r="N41" s="613" t="s">
        <v>949</v>
      </c>
      <c r="O41" s="614"/>
      <c r="P41" s="615" t="s">
        <v>950</v>
      </c>
      <c r="Q41" s="616" t="s">
        <v>950</v>
      </c>
    </row>
    <row r="42" spans="1:17">
      <c r="A42" s="1165" t="s">
        <v>967</v>
      </c>
      <c r="B42" s="1204" t="s">
        <v>925</v>
      </c>
      <c r="C42" s="568" t="s">
        <v>926</v>
      </c>
      <c r="D42" s="566">
        <v>5</v>
      </c>
      <c r="E42" s="574"/>
      <c r="F42" s="1196"/>
      <c r="G42" s="1196">
        <v>12</v>
      </c>
      <c r="H42" s="1228">
        <f>F42*G42</f>
        <v>0</v>
      </c>
      <c r="I42" s="1214">
        <f>IF(F42&lt;=500,1,IF(F42&lt;=1000,3,IF(F42&lt;=3000,6,IF(F42&lt;=5000,9,IF(F42&lt;=10000,12,IF(F42&gt;10000,15))))))</f>
        <v>1</v>
      </c>
      <c r="J42" s="1222">
        <f>IF(H42&lt;=3600,H42*5,IF(H42&lt;=12000,3600*5+(H42-3600)*4,IF(H42&lt;=36000,3600*5+8400*4+(H42-12000)*3,IF(H42&gt;36000,3600*5+8400*4+24000*3+(H42-36000)*2))))</f>
        <v>0</v>
      </c>
      <c r="K42" s="1221">
        <v>240</v>
      </c>
      <c r="L42" s="1223" t="s">
        <v>853</v>
      </c>
      <c r="M42" s="1223" t="s">
        <v>850</v>
      </c>
      <c r="N42" s="1199" t="s">
        <v>965</v>
      </c>
      <c r="O42" s="1209"/>
      <c r="P42" s="1210" t="s">
        <v>927</v>
      </c>
      <c r="Q42" s="1220" t="s">
        <v>927</v>
      </c>
    </row>
    <row r="43" spans="1:17">
      <c r="A43" s="1166"/>
      <c r="B43" s="1204"/>
      <c r="C43" s="568" t="s">
        <v>928</v>
      </c>
      <c r="D43" s="566">
        <v>4</v>
      </c>
      <c r="E43" s="574"/>
      <c r="F43" s="1197"/>
      <c r="G43" s="1197"/>
      <c r="H43" s="1228"/>
      <c r="I43" s="1215"/>
      <c r="J43" s="1222"/>
      <c r="K43" s="1221"/>
      <c r="L43" s="1223"/>
      <c r="M43" s="1223"/>
      <c r="N43" s="1200"/>
      <c r="O43" s="1209"/>
      <c r="P43" s="1210"/>
      <c r="Q43" s="1220"/>
    </row>
    <row r="44" spans="1:17">
      <c r="A44" s="1166"/>
      <c r="B44" s="1204"/>
      <c r="C44" s="568" t="s">
        <v>929</v>
      </c>
      <c r="D44" s="566">
        <v>3</v>
      </c>
      <c r="E44" s="574"/>
      <c r="F44" s="1197"/>
      <c r="G44" s="1197"/>
      <c r="H44" s="1228"/>
      <c r="I44" s="1215"/>
      <c r="J44" s="1222"/>
      <c r="K44" s="1221"/>
      <c r="L44" s="1223"/>
      <c r="M44" s="1223"/>
      <c r="N44" s="1200"/>
      <c r="O44" s="1209"/>
      <c r="P44" s="1210"/>
      <c r="Q44" s="1220"/>
    </row>
    <row r="45" spans="1:17">
      <c r="A45" s="1166"/>
      <c r="B45" s="1204"/>
      <c r="C45" s="568" t="s">
        <v>930</v>
      </c>
      <c r="D45" s="566">
        <v>2</v>
      </c>
      <c r="E45" s="574"/>
      <c r="F45" s="1198"/>
      <c r="G45" s="1198"/>
      <c r="H45" s="1228"/>
      <c r="I45" s="1216"/>
      <c r="J45" s="1222"/>
      <c r="K45" s="1221"/>
      <c r="L45" s="1223"/>
      <c r="M45" s="1223"/>
      <c r="N45" s="1201"/>
      <c r="O45" s="1209"/>
      <c r="P45" s="1210"/>
      <c r="Q45" s="1220"/>
    </row>
    <row r="46" spans="1:17">
      <c r="A46" s="1165" t="s">
        <v>808</v>
      </c>
      <c r="B46" s="1204" t="s">
        <v>931</v>
      </c>
      <c r="C46" s="568" t="s">
        <v>926</v>
      </c>
      <c r="D46" s="566">
        <v>20</v>
      </c>
      <c r="E46" s="574"/>
      <c r="F46" s="1196"/>
      <c r="G46" s="1196">
        <v>12</v>
      </c>
      <c r="H46" s="1228">
        <f>F46*G46</f>
        <v>0</v>
      </c>
      <c r="I46" s="1214">
        <f>IF(F46&lt;=500,1,IF(F46&lt;=1000,3,IF(F46&lt;=3000,6,IF(F46&lt;=5000,9,IF(F46&lt;=10000,12,IF(F46&gt;10000,15))))))</f>
        <v>1</v>
      </c>
      <c r="J46" s="1222">
        <f>IF(H46&lt;=3600,H46*20,IF(H46&lt;=12000,3600*20+(H46-3600)*15,IF(H46&lt;=36000,3600*20+8400*15+(H46-12000)*12,IF(H46&gt;36000,3600*20+8400*15+24000*12+(H46-36000)*10))))</f>
        <v>0</v>
      </c>
      <c r="K46" s="1221">
        <v>240</v>
      </c>
      <c r="L46" s="1223" t="s">
        <v>853</v>
      </c>
      <c r="M46" s="1223" t="s">
        <v>850</v>
      </c>
      <c r="N46" s="1199" t="s">
        <v>932</v>
      </c>
      <c r="O46" s="1209" t="s">
        <v>933</v>
      </c>
      <c r="P46" s="1210" t="s">
        <v>934</v>
      </c>
      <c r="Q46" s="1220" t="s">
        <v>934</v>
      </c>
    </row>
    <row r="47" spans="1:17">
      <c r="A47" s="1166"/>
      <c r="B47" s="1230"/>
      <c r="C47" s="568" t="s">
        <v>928</v>
      </c>
      <c r="D47" s="566">
        <v>15</v>
      </c>
      <c r="E47" s="574"/>
      <c r="F47" s="1197"/>
      <c r="G47" s="1197"/>
      <c r="H47" s="1228"/>
      <c r="I47" s="1215"/>
      <c r="J47" s="1222"/>
      <c r="K47" s="1221"/>
      <c r="L47" s="1223"/>
      <c r="M47" s="1223"/>
      <c r="N47" s="1200"/>
      <c r="O47" s="1209"/>
      <c r="P47" s="1210"/>
      <c r="Q47" s="1220"/>
    </row>
    <row r="48" spans="1:17">
      <c r="A48" s="1166"/>
      <c r="B48" s="1230"/>
      <c r="C48" s="568" t="s">
        <v>929</v>
      </c>
      <c r="D48" s="566">
        <v>12</v>
      </c>
      <c r="E48" s="574"/>
      <c r="F48" s="1197"/>
      <c r="G48" s="1197"/>
      <c r="H48" s="1228"/>
      <c r="I48" s="1215"/>
      <c r="J48" s="1222"/>
      <c r="K48" s="1221"/>
      <c r="L48" s="1223"/>
      <c r="M48" s="1223"/>
      <c r="N48" s="1200"/>
      <c r="O48" s="1209"/>
      <c r="P48" s="1210"/>
      <c r="Q48" s="1220"/>
    </row>
    <row r="49" spans="1:17">
      <c r="A49" s="1166"/>
      <c r="B49" s="1230"/>
      <c r="C49" s="568" t="s">
        <v>930</v>
      </c>
      <c r="D49" s="566">
        <v>10</v>
      </c>
      <c r="E49" s="574"/>
      <c r="F49" s="1198"/>
      <c r="G49" s="1198"/>
      <c r="H49" s="1228"/>
      <c r="I49" s="1216"/>
      <c r="J49" s="1222"/>
      <c r="K49" s="1221"/>
      <c r="L49" s="1223"/>
      <c r="M49" s="1223"/>
      <c r="N49" s="1201"/>
      <c r="O49" s="1209"/>
      <c r="P49" s="1210"/>
      <c r="Q49" s="1220"/>
    </row>
    <row r="50" spans="1:17">
      <c r="A50" s="1229" t="s">
        <v>935</v>
      </c>
      <c r="B50" s="1204" t="s">
        <v>936</v>
      </c>
      <c r="C50" s="568" t="s">
        <v>926</v>
      </c>
      <c r="D50" s="566">
        <v>30</v>
      </c>
      <c r="E50" s="574"/>
      <c r="F50" s="1196"/>
      <c r="G50" s="1196">
        <v>12</v>
      </c>
      <c r="H50" s="1228">
        <f>F50*G50</f>
        <v>0</v>
      </c>
      <c r="I50" s="1214">
        <f>IF(F50&lt;=500,1,IF(F50&lt;=1000,3,IF(F50&lt;=3000,6,IF(F50&lt;=5000,9,IF(F50&lt;=10000,12,IF(F50&gt;10000,15))))))</f>
        <v>1</v>
      </c>
      <c r="J50" s="1222">
        <f>IF(H50&lt;=3600,H50*30,IF(H50&lt;=12000,3600*30+(H50-3600)*24,IF(H50&lt;=36000,3600*30+8400*24+(H50-12000)*18,IF(H50&gt;36000,3600*30+8400*24+24000*18+(H50-36000)*15))))</f>
        <v>0</v>
      </c>
      <c r="K50" s="1221">
        <v>240</v>
      </c>
      <c r="L50" s="1223" t="s">
        <v>853</v>
      </c>
      <c r="M50" s="1223" t="s">
        <v>850</v>
      </c>
      <c r="N50" s="1199" t="s">
        <v>937</v>
      </c>
      <c r="O50" s="1209" t="s">
        <v>938</v>
      </c>
      <c r="P50" s="1210" t="s">
        <v>939</v>
      </c>
      <c r="Q50" s="1220" t="s">
        <v>939</v>
      </c>
    </row>
    <row r="51" spans="1:17">
      <c r="A51" s="1229"/>
      <c r="B51" s="1204"/>
      <c r="C51" s="568" t="s">
        <v>928</v>
      </c>
      <c r="D51" s="566">
        <v>24</v>
      </c>
      <c r="E51" s="574"/>
      <c r="F51" s="1197"/>
      <c r="G51" s="1197"/>
      <c r="H51" s="1228"/>
      <c r="I51" s="1215"/>
      <c r="J51" s="1222"/>
      <c r="K51" s="1221"/>
      <c r="L51" s="1223"/>
      <c r="M51" s="1223"/>
      <c r="N51" s="1200"/>
      <c r="O51" s="1209"/>
      <c r="P51" s="1210"/>
      <c r="Q51" s="1220"/>
    </row>
    <row r="52" spans="1:17">
      <c r="A52" s="1229"/>
      <c r="B52" s="1204"/>
      <c r="C52" s="568" t="s">
        <v>929</v>
      </c>
      <c r="D52" s="566">
        <v>18</v>
      </c>
      <c r="E52" s="574"/>
      <c r="F52" s="1197"/>
      <c r="G52" s="1197"/>
      <c r="H52" s="1228"/>
      <c r="I52" s="1215"/>
      <c r="J52" s="1222"/>
      <c r="K52" s="1221"/>
      <c r="L52" s="1223"/>
      <c r="M52" s="1223"/>
      <c r="N52" s="1200"/>
      <c r="O52" s="1209"/>
      <c r="P52" s="1210"/>
      <c r="Q52" s="1220"/>
    </row>
    <row r="53" spans="1:17">
      <c r="A53" s="1229"/>
      <c r="B53" s="1204"/>
      <c r="C53" s="568" t="s">
        <v>930</v>
      </c>
      <c r="D53" s="566">
        <v>15</v>
      </c>
      <c r="E53" s="574"/>
      <c r="F53" s="1198"/>
      <c r="G53" s="1198"/>
      <c r="H53" s="1228"/>
      <c r="I53" s="1216"/>
      <c r="J53" s="1222"/>
      <c r="K53" s="1221"/>
      <c r="L53" s="1223"/>
      <c r="M53" s="1223"/>
      <c r="N53" s="1201"/>
      <c r="O53" s="1209"/>
      <c r="P53" s="1210"/>
      <c r="Q53" s="1220"/>
    </row>
    <row r="54" spans="1:17" ht="22.5">
      <c r="A54" s="1229"/>
      <c r="B54" s="565" t="s">
        <v>940</v>
      </c>
      <c r="C54" s="568" t="s">
        <v>846</v>
      </c>
      <c r="D54" s="566">
        <v>10</v>
      </c>
      <c r="E54" s="574"/>
      <c r="F54" s="567"/>
      <c r="G54" s="567">
        <v>12</v>
      </c>
      <c r="H54" s="610">
        <f>F54*G54</f>
        <v>0</v>
      </c>
      <c r="I54" s="569">
        <f t="shared" ref="I54" si="4">IF(F54&lt;=500,1,IF(F54&lt;=1000,3,IF(F54&lt;=3000,6,IF(F54&lt;=5000,9,IF(F54&lt;=10000,12,IF(F54&gt;10000,15))))))</f>
        <v>1</v>
      </c>
      <c r="J54" s="820">
        <f>D54*H54</f>
        <v>0</v>
      </c>
      <c r="K54" s="568">
        <v>120</v>
      </c>
      <c r="L54" s="570" t="s">
        <v>853</v>
      </c>
      <c r="M54" s="570" t="s">
        <v>850</v>
      </c>
      <c r="N54" s="580" t="s">
        <v>941</v>
      </c>
      <c r="O54" s="583"/>
      <c r="P54" s="576" t="s">
        <v>942</v>
      </c>
      <c r="Q54" s="577" t="s">
        <v>942</v>
      </c>
    </row>
    <row r="55" spans="1:17">
      <c r="A55" s="596" t="s">
        <v>943</v>
      </c>
      <c r="B55" s="597" t="s">
        <v>846</v>
      </c>
      <c r="C55" s="598" t="s">
        <v>846</v>
      </c>
      <c r="D55" s="598" t="s">
        <v>846</v>
      </c>
      <c r="E55" s="598"/>
      <c r="F55" s="599" t="s">
        <v>847</v>
      </c>
      <c r="G55" s="599"/>
      <c r="H55" s="600">
        <f>SUM(H6:H54)</f>
        <v>0</v>
      </c>
      <c r="I55" s="598" t="s">
        <v>847</v>
      </c>
      <c r="J55" s="821">
        <f>SUM(J5:J54)</f>
        <v>10000</v>
      </c>
      <c r="K55" s="601" t="s">
        <v>846</v>
      </c>
      <c r="L55" s="598" t="s">
        <v>846</v>
      </c>
      <c r="M55" s="598" t="s">
        <v>846</v>
      </c>
      <c r="N55" s="598"/>
      <c r="O55" s="598" t="s">
        <v>846</v>
      </c>
      <c r="P55" s="598" t="s">
        <v>846</v>
      </c>
      <c r="Q55" s="602" t="s">
        <v>846</v>
      </c>
    </row>
    <row r="56" spans="1:17" ht="83.25" customHeight="1" thickBot="1">
      <c r="A56" s="603" t="s">
        <v>944</v>
      </c>
      <c r="B56" s="1231" t="s">
        <v>945</v>
      </c>
      <c r="C56" s="1231"/>
      <c r="D56" s="1231"/>
      <c r="E56" s="1231"/>
      <c r="F56" s="1231"/>
      <c r="G56" s="1231"/>
      <c r="H56" s="1231"/>
      <c r="I56" s="1231"/>
      <c r="J56" s="1231"/>
      <c r="K56" s="1231"/>
      <c r="L56" s="1231"/>
      <c r="M56" s="1231"/>
      <c r="N56" s="1231"/>
      <c r="O56" s="1231"/>
      <c r="P56" s="1231"/>
      <c r="Q56" s="1232"/>
    </row>
  </sheetData>
  <mergeCells count="130">
    <mergeCell ref="B56:Q56"/>
    <mergeCell ref="I50:I53"/>
    <mergeCell ref="J50:J53"/>
    <mergeCell ref="K50:K53"/>
    <mergeCell ref="L50:L53"/>
    <mergeCell ref="M50:M53"/>
    <mergeCell ref="N50:N53"/>
    <mergeCell ref="P46:P49"/>
    <mergeCell ref="Q46:Q49"/>
    <mergeCell ref="A50:A54"/>
    <mergeCell ref="B50:B53"/>
    <mergeCell ref="F50:F53"/>
    <mergeCell ref="G50:G53"/>
    <mergeCell ref="H50:H53"/>
    <mergeCell ref="O50:O53"/>
    <mergeCell ref="P50:P53"/>
    <mergeCell ref="Q50:Q53"/>
    <mergeCell ref="P42:P45"/>
    <mergeCell ref="Q42:Q45"/>
    <mergeCell ref="B46:B49"/>
    <mergeCell ref="F46:F49"/>
    <mergeCell ref="G46:G49"/>
    <mergeCell ref="H46:H49"/>
    <mergeCell ref="I46:I49"/>
    <mergeCell ref="J46:J49"/>
    <mergeCell ref="K46:K49"/>
    <mergeCell ref="L46:L49"/>
    <mergeCell ref="J42:J45"/>
    <mergeCell ref="K42:K45"/>
    <mergeCell ref="L42:L45"/>
    <mergeCell ref="M42:M45"/>
    <mergeCell ref="N42:N45"/>
    <mergeCell ref="O42:O45"/>
    <mergeCell ref="B42:B45"/>
    <mergeCell ref="F42:F45"/>
    <mergeCell ref="G42:G45"/>
    <mergeCell ref="H42:H45"/>
    <mergeCell ref="I42:I45"/>
    <mergeCell ref="M46:M49"/>
    <mergeCell ref="N46:N49"/>
    <mergeCell ref="O46:O49"/>
    <mergeCell ref="L38:L40"/>
    <mergeCell ref="M38:M40"/>
    <mergeCell ref="N38:N40"/>
    <mergeCell ref="O38:O40"/>
    <mergeCell ref="P38:P40"/>
    <mergeCell ref="Q38:Q40"/>
    <mergeCell ref="A33:A36"/>
    <mergeCell ref="N33:N36"/>
    <mergeCell ref="B38:B40"/>
    <mergeCell ref="F38:F40"/>
    <mergeCell ref="G38:G40"/>
    <mergeCell ref="H38:H40"/>
    <mergeCell ref="I38:I40"/>
    <mergeCell ref="J38:J40"/>
    <mergeCell ref="K38:K40"/>
    <mergeCell ref="A38:A41"/>
    <mergeCell ref="A24:A29"/>
    <mergeCell ref="N25:N29"/>
    <mergeCell ref="A30:A32"/>
    <mergeCell ref="N30:N31"/>
    <mergeCell ref="I21:I23"/>
    <mergeCell ref="J21:J23"/>
    <mergeCell ref="K21:K23"/>
    <mergeCell ref="L21:L23"/>
    <mergeCell ref="M21:M23"/>
    <mergeCell ref="N21:N23"/>
    <mergeCell ref="Q18:Q20"/>
    <mergeCell ref="A21:A23"/>
    <mergeCell ref="B21:B23"/>
    <mergeCell ref="E21:E23"/>
    <mergeCell ref="F21:F23"/>
    <mergeCell ref="G21:G23"/>
    <mergeCell ref="H21:H23"/>
    <mergeCell ref="H18:H20"/>
    <mergeCell ref="I18:I20"/>
    <mergeCell ref="J18:J20"/>
    <mergeCell ref="K18:K20"/>
    <mergeCell ref="L18:L20"/>
    <mergeCell ref="M18:M20"/>
    <mergeCell ref="O21:O23"/>
    <mergeCell ref="P21:P23"/>
    <mergeCell ref="Q21:Q23"/>
    <mergeCell ref="P3:P4"/>
    <mergeCell ref="A10:A15"/>
    <mergeCell ref="N10:N15"/>
    <mergeCell ref="A16:A17"/>
    <mergeCell ref="N16:N17"/>
    <mergeCell ref="O16:O17"/>
    <mergeCell ref="A18:A20"/>
    <mergeCell ref="B18:B20"/>
    <mergeCell ref="E18:E20"/>
    <mergeCell ref="F18:F20"/>
    <mergeCell ref="G18:G20"/>
    <mergeCell ref="N18:N20"/>
    <mergeCell ref="O18:O20"/>
    <mergeCell ref="P18:P20"/>
    <mergeCell ref="H7:H9"/>
    <mergeCell ref="I7:I9"/>
    <mergeCell ref="J7:J9"/>
    <mergeCell ref="K7:K9"/>
    <mergeCell ref="K3:K4"/>
    <mergeCell ref="L3:L4"/>
    <mergeCell ref="M3:M4"/>
    <mergeCell ref="N3:N4"/>
    <mergeCell ref="O3:O4"/>
    <mergeCell ref="A46:A49"/>
    <mergeCell ref="A42:A45"/>
    <mergeCell ref="A1:Q2"/>
    <mergeCell ref="A3:A4"/>
    <mergeCell ref="B3:B4"/>
    <mergeCell ref="C3:D3"/>
    <mergeCell ref="E3:E4"/>
    <mergeCell ref="F3:F4"/>
    <mergeCell ref="G3:G4"/>
    <mergeCell ref="H3:H4"/>
    <mergeCell ref="I3:I4"/>
    <mergeCell ref="J3:J4"/>
    <mergeCell ref="L7:L9"/>
    <mergeCell ref="M7:M9"/>
    <mergeCell ref="N7:N9"/>
    <mergeCell ref="O7:O9"/>
    <mergeCell ref="P7:P9"/>
    <mergeCell ref="Q7:Q9"/>
    <mergeCell ref="Q3:Q4"/>
    <mergeCell ref="A7:A9"/>
    <mergeCell ref="B7:B9"/>
    <mergeCell ref="E7:E9"/>
    <mergeCell ref="F7:F9"/>
    <mergeCell ref="G7:G9"/>
  </mergeCells>
  <phoneticPr fontId="5" type="noConversion"/>
  <dataValidations count="7">
    <dataValidation type="list" allowBlank="1" showInputMessage="1" showErrorMessage="1" sqref="G6:G54">
      <formula1>"0,12,24,36"</formula1>
    </dataValidation>
    <dataValidation operator="greaterThanOrEqual" allowBlank="1" showInputMessage="1" showErrorMessage="1" prompt="企业+许可数量不能小于360人月！" sqref="H7:H9"/>
    <dataValidation type="whole" operator="greaterThanOrEqual" allowBlank="1" showInputMessage="1" showErrorMessage="1" sqref="F7:F9">
      <formula1>30</formula1>
    </dataValidation>
    <dataValidation operator="greaterThanOrEqual" allowBlank="1" showInputMessage="1" showErrorMessage="1" prompt="掌管设备许可数量不能小于120人月！" sqref="H6"/>
    <dataValidation type="whole" operator="greaterThanOrEqual" allowBlank="1" showInputMessage="1" showErrorMessage="1" prompt="移动应用服务器许可数量不能小于2CPU1年！" sqref="H5">
      <formula1>2</formula1>
    </dataValidation>
    <dataValidation operator="greaterThanOrEqual" allowBlank="1" showInputMessage="1" showErrorMessage="1" prompt="协作任务许可数量不能小于360人月！" sqref="H13:H15"/>
    <dataValidation type="list" allowBlank="1" showInputMessage="1" showErrorMessage="1" sqref="G56:G1048576 G1:G2">
      <formula1>"12,24,36"</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A3" sqref="A3:A6"/>
    </sheetView>
  </sheetViews>
  <sheetFormatPr defaultRowHeight="13.5"/>
  <cols>
    <col min="5" max="5" width="10.75" customWidth="1"/>
    <col min="12" max="12" width="34" customWidth="1"/>
  </cols>
  <sheetData>
    <row r="1" spans="1:12" ht="34.5" thickBot="1">
      <c r="A1" s="1236" t="s">
        <v>570</v>
      </c>
      <c r="B1" s="1236"/>
      <c r="C1" s="1236"/>
      <c r="D1" s="1236"/>
      <c r="E1" s="1236"/>
      <c r="F1" s="1236"/>
      <c r="G1" s="1236"/>
      <c r="H1" s="1236"/>
      <c r="I1" s="1236"/>
      <c r="J1" s="1236"/>
      <c r="K1" s="1236"/>
      <c r="L1" s="1236"/>
    </row>
    <row r="2" spans="1:12" ht="36">
      <c r="A2" s="132" t="s">
        <v>571</v>
      </c>
      <c r="B2" s="133" t="s">
        <v>572</v>
      </c>
      <c r="C2" s="133" t="s">
        <v>573</v>
      </c>
      <c r="D2" s="133" t="s">
        <v>574</v>
      </c>
      <c r="E2" s="133" t="s">
        <v>575</v>
      </c>
      <c r="F2" s="133" t="s">
        <v>576</v>
      </c>
      <c r="G2" s="133" t="s">
        <v>577</v>
      </c>
      <c r="H2" s="133" t="s">
        <v>578</v>
      </c>
      <c r="I2" s="133" t="s">
        <v>579</v>
      </c>
      <c r="J2" s="133" t="s">
        <v>580</v>
      </c>
      <c r="K2" s="134" t="s">
        <v>581</v>
      </c>
      <c r="L2" s="135" t="s">
        <v>582</v>
      </c>
    </row>
    <row r="3" spans="1:12">
      <c r="A3" s="1237" t="s">
        <v>583</v>
      </c>
      <c r="B3" s="1239" t="s">
        <v>583</v>
      </c>
      <c r="C3" s="1240">
        <v>20</v>
      </c>
      <c r="D3" s="1241">
        <v>1</v>
      </c>
      <c r="E3" s="136" t="s">
        <v>584</v>
      </c>
      <c r="F3" s="137">
        <v>0.8</v>
      </c>
      <c r="G3" s="1242">
        <v>205</v>
      </c>
      <c r="H3" s="1240">
        <f>IF(D3=1,C3+IF(G3&lt;=50,G3*0.8,IF(G3&lt;100,50*0.8+(G3-50)*0.4,IF(G3&lt;200,(G3-100)*0.2+50*0.4+50*0.8,(G3-200)*0+100*0.2+50*0.4+50*0.8))),0)</f>
        <v>100</v>
      </c>
      <c r="I3" s="1240" t="s">
        <v>585</v>
      </c>
      <c r="J3" s="1240" t="s">
        <v>18</v>
      </c>
      <c r="K3" s="1243" t="str">
        <f>IF(G3&lt;5,"许可没有达到最低要求","SUCCESS")</f>
        <v>SUCCESS</v>
      </c>
      <c r="L3" s="1233" t="s">
        <v>586</v>
      </c>
    </row>
    <row r="4" spans="1:12">
      <c r="A4" s="1238"/>
      <c r="B4" s="1239"/>
      <c r="C4" s="1240"/>
      <c r="D4" s="1241"/>
      <c r="E4" s="136" t="s">
        <v>587</v>
      </c>
      <c r="F4" s="137">
        <v>0.4</v>
      </c>
      <c r="G4" s="1242"/>
      <c r="H4" s="1240"/>
      <c r="I4" s="1240"/>
      <c r="J4" s="1240"/>
      <c r="K4" s="1243"/>
      <c r="L4" s="1233"/>
    </row>
    <row r="5" spans="1:12">
      <c r="A5" s="1238"/>
      <c r="B5" s="1239"/>
      <c r="C5" s="1240"/>
      <c r="D5" s="1241"/>
      <c r="E5" s="136" t="s">
        <v>588</v>
      </c>
      <c r="F5" s="137">
        <v>0.2</v>
      </c>
      <c r="G5" s="1242"/>
      <c r="H5" s="1240"/>
      <c r="I5" s="1240"/>
      <c r="J5" s="1240"/>
      <c r="K5" s="1243"/>
      <c r="L5" s="1233"/>
    </row>
    <row r="6" spans="1:12" ht="18.75" customHeight="1">
      <c r="A6" s="1238"/>
      <c r="B6" s="1239"/>
      <c r="C6" s="1240"/>
      <c r="D6" s="1241"/>
      <c r="E6" s="136" t="s">
        <v>589</v>
      </c>
      <c r="F6" s="137" t="s">
        <v>590</v>
      </c>
      <c r="G6" s="1242"/>
      <c r="H6" s="1240"/>
      <c r="I6" s="1240"/>
      <c r="J6" s="1240"/>
      <c r="K6" s="1243"/>
      <c r="L6" s="1233"/>
    </row>
    <row r="7" spans="1:12">
      <c r="A7" s="138" t="s">
        <v>591</v>
      </c>
      <c r="B7" s="139"/>
      <c r="C7" s="139"/>
      <c r="D7" s="139"/>
      <c r="E7" s="139"/>
      <c r="F7" s="139"/>
      <c r="G7" s="139"/>
      <c r="H7" s="140">
        <f>SUM(H3:H6)</f>
        <v>100</v>
      </c>
      <c r="I7" s="139"/>
      <c r="J7" s="139"/>
      <c r="K7" s="139"/>
      <c r="L7" s="141"/>
    </row>
    <row r="8" spans="1:12" ht="73.5" customHeight="1" thickBot="1">
      <c r="A8" s="142" t="s">
        <v>592</v>
      </c>
      <c r="B8" s="1234" t="s">
        <v>593</v>
      </c>
      <c r="C8" s="1234"/>
      <c r="D8" s="1234"/>
      <c r="E8" s="1234"/>
      <c r="F8" s="1234"/>
      <c r="G8" s="1234"/>
      <c r="H8" s="1234"/>
      <c r="I8" s="1234"/>
      <c r="J8" s="1234"/>
      <c r="K8" s="1234"/>
      <c r="L8" s="1235"/>
    </row>
  </sheetData>
  <mergeCells count="12">
    <mergeCell ref="L3:L6"/>
    <mergeCell ref="B8:L8"/>
    <mergeCell ref="A1:L1"/>
    <mergeCell ref="A3:A6"/>
    <mergeCell ref="B3:B6"/>
    <mergeCell ref="C3:C6"/>
    <mergeCell ref="D3:D6"/>
    <mergeCell ref="G3:G6"/>
    <mergeCell ref="H3:H6"/>
    <mergeCell ref="I3:I6"/>
    <mergeCell ref="J3:J6"/>
    <mergeCell ref="K3:K6"/>
  </mergeCells>
  <phoneticPr fontId="5" type="noConversion"/>
  <dataValidations count="3">
    <dataValidation type="list" allowBlank="1" showInputMessage="1" showErrorMessage="1" sqref="D7 D3">
      <formula1>"1"</formula1>
    </dataValidation>
    <dataValidation type="whole" operator="greaterThanOrEqual" allowBlank="1" showInputMessage="1" showErrorMessage="1" errorTitle="警告" error="请输入大于等于5的整数！" promptTitle="许可数量约束！" prompt="影像平台扫描点许可数量不能小于5个！" sqref="G3:G6">
      <formula1>5</formula1>
    </dataValidation>
    <dataValidation type="whole" operator="greaterThanOrEqual" allowBlank="1" showInputMessage="1" showErrorMessage="1" errorTitle="许可数量出错！" error="生产制造许可数量不能小于5个，请输入大于等于5的整数！" promptTitle="许可数量约束！" prompt="生产制造许可数量不能小于10个！" sqref="G7">
      <formula1>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F18" sqref="F18"/>
    </sheetView>
  </sheetViews>
  <sheetFormatPr defaultRowHeight="13.5"/>
  <cols>
    <col min="2" max="2" width="10.875" customWidth="1"/>
    <col min="3" max="3" width="9.75" customWidth="1"/>
    <col min="5" max="5" width="7.75" customWidth="1"/>
    <col min="9" max="9" width="12.125" customWidth="1"/>
    <col min="12" max="12" width="12" customWidth="1"/>
    <col min="13" max="13" width="22.75" customWidth="1"/>
    <col min="14" max="14" width="21.5" customWidth="1"/>
  </cols>
  <sheetData>
    <row r="1" spans="1:14" s="1" customFormat="1" ht="45" customHeight="1" thickBot="1">
      <c r="A1" s="1055" t="s">
        <v>0</v>
      </c>
      <c r="B1" s="1055"/>
      <c r="C1" s="1055"/>
      <c r="D1" s="1055"/>
      <c r="E1" s="1055"/>
      <c r="F1" s="1055"/>
      <c r="G1" s="1055"/>
      <c r="H1" s="1055"/>
      <c r="I1" s="1055"/>
      <c r="J1" s="1055"/>
      <c r="K1" s="1055"/>
      <c r="L1" s="1055"/>
      <c r="M1" s="1055"/>
      <c r="N1" s="1244"/>
    </row>
    <row r="2" spans="1:14" s="2" customFormat="1" ht="22.5" customHeight="1" thickBot="1">
      <c r="A2" s="272" t="s">
        <v>1</v>
      </c>
      <c r="B2" s="273" t="s">
        <v>2</v>
      </c>
      <c r="C2" s="273" t="s">
        <v>3</v>
      </c>
      <c r="D2" s="274" t="s">
        <v>4</v>
      </c>
      <c r="E2" s="273" t="s">
        <v>226</v>
      </c>
      <c r="F2" s="273" t="s">
        <v>6</v>
      </c>
      <c r="G2" s="273" t="s">
        <v>7</v>
      </c>
      <c r="H2" s="275" t="s">
        <v>8</v>
      </c>
      <c r="I2" s="273" t="s">
        <v>645</v>
      </c>
      <c r="J2" s="276" t="s">
        <v>10</v>
      </c>
      <c r="K2" s="273" t="s">
        <v>11</v>
      </c>
      <c r="L2" s="277" t="s">
        <v>12</v>
      </c>
      <c r="M2" s="277" t="s">
        <v>13</v>
      </c>
      <c r="N2" s="278" t="s">
        <v>14</v>
      </c>
    </row>
    <row r="3" spans="1:14" s="4" customFormat="1" ht="44.25" customHeight="1">
      <c r="A3" s="251" t="s">
        <v>171</v>
      </c>
      <c r="B3" s="251" t="s">
        <v>646</v>
      </c>
      <c r="C3" s="131">
        <v>55</v>
      </c>
      <c r="D3" s="265">
        <v>1</v>
      </c>
      <c r="E3" s="131" t="s">
        <v>30</v>
      </c>
      <c r="F3" s="131" t="s">
        <v>30</v>
      </c>
      <c r="G3" s="266" t="s">
        <v>30</v>
      </c>
      <c r="H3" s="267">
        <f>IF(D3=1,C3,0)</f>
        <v>55</v>
      </c>
      <c r="I3" s="266" t="s">
        <v>30</v>
      </c>
      <c r="J3" s="268" t="s">
        <v>33</v>
      </c>
      <c r="K3" s="269" t="s">
        <v>29</v>
      </c>
      <c r="L3" s="270" t="s">
        <v>30</v>
      </c>
      <c r="M3" s="271" t="s">
        <v>650</v>
      </c>
      <c r="N3" s="164" t="s">
        <v>648</v>
      </c>
    </row>
    <row r="4" spans="1:14" s="32" customFormat="1" ht="13.5" customHeight="1">
      <c r="A4" s="156" t="s">
        <v>220</v>
      </c>
      <c r="B4" s="157" t="s">
        <v>16</v>
      </c>
      <c r="C4" s="158" t="s">
        <v>16</v>
      </c>
      <c r="D4" s="158" t="s">
        <v>16</v>
      </c>
      <c r="E4" s="158" t="s">
        <v>16</v>
      </c>
      <c r="F4" s="158" t="s">
        <v>16</v>
      </c>
      <c r="G4" s="158" t="s">
        <v>16</v>
      </c>
      <c r="H4" s="159">
        <f>SUM(H3)</f>
        <v>55</v>
      </c>
      <c r="I4" s="158" t="s">
        <v>16</v>
      </c>
      <c r="J4" s="160" t="s">
        <v>16</v>
      </c>
      <c r="K4" s="158" t="s">
        <v>16</v>
      </c>
      <c r="L4" s="158" t="s">
        <v>16</v>
      </c>
      <c r="M4" s="158" t="s">
        <v>16</v>
      </c>
      <c r="N4" s="161" t="s">
        <v>16</v>
      </c>
    </row>
    <row r="5" spans="1:14" s="32" customFormat="1" ht="54" customHeight="1" thickBot="1">
      <c r="A5" s="162" t="s">
        <v>221</v>
      </c>
      <c r="B5" s="1245" t="s">
        <v>651</v>
      </c>
      <c r="C5" s="1246"/>
      <c r="D5" s="1246"/>
      <c r="E5" s="1246"/>
      <c r="F5" s="1246"/>
      <c r="G5" s="1246"/>
      <c r="H5" s="1246"/>
      <c r="I5" s="1246"/>
      <c r="J5" s="1246"/>
      <c r="K5" s="1246"/>
      <c r="L5" s="1246"/>
      <c r="M5" s="1246"/>
      <c r="N5" s="1247"/>
    </row>
  </sheetData>
  <mergeCells count="2">
    <mergeCell ref="A1:N1"/>
    <mergeCell ref="B5:N5"/>
  </mergeCells>
  <phoneticPr fontId="5" type="noConversion"/>
  <dataValidations count="1">
    <dataValidation type="list" allowBlank="1" showInputMessage="1" showErrorMessage="1" sqref="D3">
      <formula1>"1"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I21" sqref="I21"/>
    </sheetView>
  </sheetViews>
  <sheetFormatPr defaultRowHeight="13.5"/>
  <cols>
    <col min="1" max="1" width="10.625" customWidth="1"/>
    <col min="2" max="2" width="11" customWidth="1"/>
    <col min="3" max="3" width="12.125" customWidth="1"/>
    <col min="4" max="4" width="7.875" customWidth="1"/>
    <col min="8" max="8" width="12.5" customWidth="1"/>
    <col min="11" max="11" width="11.125" customWidth="1"/>
    <col min="12" max="12" width="24.5" customWidth="1"/>
    <col min="13" max="13" width="22.625" customWidth="1"/>
  </cols>
  <sheetData>
    <row r="1" spans="1:13" ht="27" customHeight="1">
      <c r="A1" s="938" t="s">
        <v>222</v>
      </c>
      <c r="B1" s="939"/>
      <c r="C1" s="939"/>
      <c r="D1" s="939"/>
      <c r="E1" s="939"/>
      <c r="F1" s="939"/>
      <c r="G1" s="939"/>
      <c r="H1" s="939"/>
      <c r="I1" s="939"/>
      <c r="J1" s="939"/>
      <c r="K1" s="939"/>
      <c r="L1" s="939"/>
      <c r="M1" s="1248"/>
    </row>
    <row r="2" spans="1:13" ht="12.75" customHeight="1" thickBot="1">
      <c r="A2" s="938"/>
      <c r="B2" s="939"/>
      <c r="C2" s="939"/>
      <c r="D2" s="939"/>
      <c r="E2" s="939"/>
      <c r="F2" s="939"/>
      <c r="G2" s="939"/>
      <c r="H2" s="939"/>
      <c r="I2" s="939"/>
      <c r="J2" s="939"/>
      <c r="K2" s="939"/>
      <c r="L2" s="939"/>
      <c r="M2" s="1248"/>
    </row>
    <row r="3" spans="1:13" ht="25.5" customHeight="1" thickBot="1">
      <c r="A3" s="261" t="s">
        <v>1</v>
      </c>
      <c r="B3" s="262" t="s">
        <v>224</v>
      </c>
      <c r="C3" s="263" t="s">
        <v>2</v>
      </c>
      <c r="D3" s="263" t="s">
        <v>226</v>
      </c>
      <c r="E3" s="263" t="s">
        <v>227</v>
      </c>
      <c r="F3" s="263" t="s">
        <v>7</v>
      </c>
      <c r="G3" s="263" t="s">
        <v>8</v>
      </c>
      <c r="H3" s="263" t="s">
        <v>645</v>
      </c>
      <c r="I3" s="263" t="s">
        <v>231</v>
      </c>
      <c r="J3" s="263" t="s">
        <v>11</v>
      </c>
      <c r="K3" s="263" t="s">
        <v>233</v>
      </c>
      <c r="L3" s="263" t="s">
        <v>13</v>
      </c>
      <c r="M3" s="264" t="s">
        <v>14</v>
      </c>
    </row>
    <row r="4" spans="1:13" s="62" customFormat="1" ht="42.75" customHeight="1">
      <c r="A4" s="163" t="s">
        <v>171</v>
      </c>
      <c r="B4" s="253" t="s">
        <v>646</v>
      </c>
      <c r="C4" s="254" t="s">
        <v>646</v>
      </c>
      <c r="D4" s="255" t="s">
        <v>30</v>
      </c>
      <c r="E4" s="295">
        <v>55</v>
      </c>
      <c r="F4" s="256">
        <v>1</v>
      </c>
      <c r="G4" s="296">
        <f>IF(F4&gt;=1,E4*1,0)</f>
        <v>55</v>
      </c>
      <c r="H4" s="257" t="s">
        <v>30</v>
      </c>
      <c r="I4" s="258" t="s">
        <v>33</v>
      </c>
      <c r="J4" s="259" t="s">
        <v>29</v>
      </c>
      <c r="K4" s="258" t="str">
        <f t="shared" ref="K4" si="0">IF(F4&lt;10,"许可没有达到最低要求","SUCCESS")</f>
        <v>许可没有达到最低要求</v>
      </c>
      <c r="L4" s="259" t="s">
        <v>647</v>
      </c>
      <c r="M4" s="260" t="s">
        <v>648</v>
      </c>
    </row>
    <row r="5" spans="1:13" ht="22.5" customHeight="1">
      <c r="A5" s="138" t="s">
        <v>485</v>
      </c>
      <c r="B5" s="150" t="s">
        <v>486</v>
      </c>
      <c r="C5" s="150"/>
      <c r="D5" s="150"/>
      <c r="E5" s="151"/>
      <c r="F5" s="152"/>
      <c r="G5" s="153">
        <f>SUM(G4)</f>
        <v>55</v>
      </c>
      <c r="H5" s="152"/>
      <c r="I5" s="139"/>
      <c r="J5" s="104"/>
      <c r="K5" s="139"/>
      <c r="L5" s="104"/>
      <c r="M5" s="154"/>
    </row>
    <row r="6" spans="1:13" ht="32.25" customHeight="1" thickBot="1">
      <c r="A6" s="142" t="s">
        <v>487</v>
      </c>
      <c r="B6" s="1249" t="s">
        <v>649</v>
      </c>
      <c r="C6" s="1250"/>
      <c r="D6" s="1250"/>
      <c r="E6" s="1250"/>
      <c r="F6" s="1250"/>
      <c r="G6" s="1250"/>
      <c r="H6" s="1250"/>
      <c r="I6" s="1250"/>
      <c r="J6" s="1250"/>
      <c r="K6" s="1250"/>
      <c r="L6" s="1250"/>
      <c r="M6" s="155"/>
    </row>
  </sheetData>
  <mergeCells count="2">
    <mergeCell ref="A1:M2"/>
    <mergeCell ref="B6:L6"/>
  </mergeCells>
  <phoneticPr fontId="5" type="noConversion"/>
  <dataValidations count="1">
    <dataValidation type="list" allowBlank="1" showInputMessage="1" showErrorMessage="1" sqref="F4">
      <formula1>"1"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2"/>
  <sheetViews>
    <sheetView workbookViewId="0">
      <selection activeCell="A13" sqref="A13:A19"/>
    </sheetView>
  </sheetViews>
  <sheetFormatPr defaultRowHeight="16.5"/>
  <cols>
    <col min="1" max="1" width="27.25" style="830" customWidth="1"/>
    <col min="2" max="2" width="18.875" style="830" customWidth="1"/>
    <col min="3" max="3" width="10.875" style="856" customWidth="1"/>
    <col min="4" max="4" width="7.75" style="857" customWidth="1"/>
    <col min="5" max="5" width="15" style="856" customWidth="1"/>
    <col min="6" max="6" width="33.25" style="830" customWidth="1"/>
    <col min="7" max="7" width="26.375" style="830" customWidth="1"/>
    <col min="8" max="16384" width="9" style="830"/>
  </cols>
  <sheetData>
    <row r="1" spans="1:7" ht="27.75">
      <c r="A1" s="1251" t="s">
        <v>1425</v>
      </c>
      <c r="B1" s="1251"/>
      <c r="C1" s="1251"/>
      <c r="D1" s="1251"/>
      <c r="E1" s="1251"/>
      <c r="F1" s="1251"/>
      <c r="G1" s="1251"/>
    </row>
    <row r="2" spans="1:7" ht="67.5" customHeight="1">
      <c r="A2" s="1252" t="s">
        <v>1426</v>
      </c>
      <c r="B2" s="1252"/>
      <c r="C2" s="1253"/>
      <c r="D2" s="1253"/>
      <c r="E2" s="1253"/>
      <c r="F2" s="1253"/>
      <c r="G2" s="1253"/>
    </row>
    <row r="3" spans="1:7">
      <c r="A3" s="1254" t="s">
        <v>1427</v>
      </c>
      <c r="B3" s="1254" t="s">
        <v>1428</v>
      </c>
      <c r="C3" s="1254" t="s">
        <v>1429</v>
      </c>
      <c r="D3" s="1255" t="s">
        <v>1430</v>
      </c>
      <c r="E3" s="1254" t="s">
        <v>1431</v>
      </c>
      <c r="F3" s="1256" t="s">
        <v>1432</v>
      </c>
      <c r="G3" s="1256" t="s">
        <v>582</v>
      </c>
    </row>
    <row r="4" spans="1:7">
      <c r="A4" s="1254"/>
      <c r="B4" s="1254"/>
      <c r="C4" s="1254"/>
      <c r="D4" s="1255"/>
      <c r="E4" s="1254"/>
      <c r="F4" s="1257"/>
      <c r="G4" s="1257"/>
    </row>
    <row r="5" spans="1:7">
      <c r="A5" s="1264" t="s">
        <v>1433</v>
      </c>
      <c r="B5" s="1264" t="s">
        <v>1434</v>
      </c>
      <c r="C5" s="1274"/>
      <c r="D5" s="1267"/>
      <c r="E5" s="1258">
        <f>C5*D5*18%</f>
        <v>0</v>
      </c>
      <c r="F5" s="831" t="s">
        <v>1435</v>
      </c>
      <c r="G5" s="1261" t="s">
        <v>1436</v>
      </c>
    </row>
    <row r="6" spans="1:7">
      <c r="A6" s="1265"/>
      <c r="B6" s="1265"/>
      <c r="C6" s="1275"/>
      <c r="D6" s="1268"/>
      <c r="E6" s="1259"/>
      <c r="F6" s="831" t="s">
        <v>1437</v>
      </c>
      <c r="G6" s="1262"/>
    </row>
    <row r="7" spans="1:7">
      <c r="A7" s="1265"/>
      <c r="B7" s="1265"/>
      <c r="C7" s="1275"/>
      <c r="D7" s="1268"/>
      <c r="E7" s="1259"/>
      <c r="F7" s="832" t="s">
        <v>1438</v>
      </c>
      <c r="G7" s="1262"/>
    </row>
    <row r="8" spans="1:7">
      <c r="A8" s="1265"/>
      <c r="B8" s="1266"/>
      <c r="C8" s="1275"/>
      <c r="D8" s="1269"/>
      <c r="E8" s="1260"/>
      <c r="F8" s="832" t="s">
        <v>1439</v>
      </c>
      <c r="G8" s="1263"/>
    </row>
    <row r="9" spans="1:7">
      <c r="A9" s="1265"/>
      <c r="B9" s="1264" t="s">
        <v>1440</v>
      </c>
      <c r="C9" s="1275"/>
      <c r="D9" s="1267"/>
      <c r="E9" s="1258">
        <f>C5*D9*12%</f>
        <v>0</v>
      </c>
      <c r="F9" s="831" t="s">
        <v>1441</v>
      </c>
      <c r="G9" s="1261" t="s">
        <v>1442</v>
      </c>
    </row>
    <row r="10" spans="1:7">
      <c r="A10" s="1265"/>
      <c r="B10" s="1265"/>
      <c r="C10" s="1275"/>
      <c r="D10" s="1268"/>
      <c r="E10" s="1259"/>
      <c r="F10" s="831" t="s">
        <v>1437</v>
      </c>
      <c r="G10" s="1262"/>
    </row>
    <row r="11" spans="1:7">
      <c r="A11" s="1265"/>
      <c r="B11" s="1265"/>
      <c r="C11" s="1275"/>
      <c r="D11" s="1268"/>
      <c r="E11" s="1259"/>
      <c r="F11" s="832" t="s">
        <v>1438</v>
      </c>
      <c r="G11" s="1262"/>
    </row>
    <row r="12" spans="1:7">
      <c r="A12" s="1266"/>
      <c r="B12" s="1266"/>
      <c r="C12" s="1275"/>
      <c r="D12" s="1269"/>
      <c r="E12" s="1260"/>
      <c r="F12" s="832" t="s">
        <v>1439</v>
      </c>
      <c r="G12" s="1263"/>
    </row>
    <row r="13" spans="1:7" ht="33">
      <c r="A13" s="1270" t="s">
        <v>1443</v>
      </c>
      <c r="B13" s="833" t="s">
        <v>1444</v>
      </c>
      <c r="C13" s="1275"/>
      <c r="D13" s="834"/>
      <c r="E13" s="835">
        <f>C5*D13*5%</f>
        <v>0</v>
      </c>
      <c r="F13" s="832" t="s">
        <v>1445</v>
      </c>
      <c r="G13" s="836" t="s">
        <v>1446</v>
      </c>
    </row>
    <row r="14" spans="1:7" ht="49.5">
      <c r="A14" s="1270"/>
      <c r="B14" s="833" t="s">
        <v>1447</v>
      </c>
      <c r="C14" s="1275"/>
      <c r="D14" s="834"/>
      <c r="E14" s="835">
        <f>C5*D14*4%</f>
        <v>0</v>
      </c>
      <c r="F14" s="832" t="s">
        <v>1448</v>
      </c>
      <c r="G14" s="836" t="s">
        <v>1449</v>
      </c>
    </row>
    <row r="15" spans="1:7" ht="132">
      <c r="A15" s="1270"/>
      <c r="B15" s="833" t="s">
        <v>1450</v>
      </c>
      <c r="C15" s="1275"/>
      <c r="D15" s="834"/>
      <c r="E15" s="835">
        <f>D15*35</f>
        <v>0</v>
      </c>
      <c r="F15" s="832" t="s">
        <v>1451</v>
      </c>
      <c r="G15" s="836" t="s">
        <v>1452</v>
      </c>
    </row>
    <row r="16" spans="1:7" ht="99">
      <c r="A16" s="1270"/>
      <c r="B16" s="833" t="s">
        <v>1453</v>
      </c>
      <c r="C16" s="1275"/>
      <c r="D16" s="834"/>
      <c r="E16" s="835">
        <f>D16*80</f>
        <v>0</v>
      </c>
      <c r="F16" s="832" t="s">
        <v>1454</v>
      </c>
      <c r="G16" s="836" t="s">
        <v>1455</v>
      </c>
    </row>
    <row r="17" spans="1:7" ht="66">
      <c r="A17" s="1270"/>
      <c r="B17" s="833" t="s">
        <v>1456</v>
      </c>
      <c r="C17" s="837"/>
      <c r="D17" s="834"/>
      <c r="E17" s="835"/>
      <c r="F17" s="832" t="s">
        <v>1457</v>
      </c>
      <c r="G17" s="836" t="s">
        <v>1458</v>
      </c>
    </row>
    <row r="18" spans="1:7" ht="49.5">
      <c r="A18" s="1270"/>
      <c r="B18" s="833" t="s">
        <v>1459</v>
      </c>
      <c r="C18" s="837"/>
      <c r="D18" s="834"/>
      <c r="E18" s="835">
        <f>C18*D18</f>
        <v>0</v>
      </c>
      <c r="F18" s="832" t="s">
        <v>1460</v>
      </c>
      <c r="G18" s="836" t="s">
        <v>1461</v>
      </c>
    </row>
    <row r="19" spans="1:7" s="839" customFormat="1">
      <c r="A19" s="1270"/>
      <c r="B19" s="833"/>
      <c r="C19" s="838"/>
      <c r="D19" s="834"/>
      <c r="E19" s="835">
        <f>D19*35</f>
        <v>0</v>
      </c>
      <c r="F19" s="832"/>
      <c r="G19" s="836"/>
    </row>
    <row r="20" spans="1:7" s="839" customFormat="1">
      <c r="A20" s="1271" t="s">
        <v>1462</v>
      </c>
      <c r="B20" s="1272"/>
      <c r="C20" s="1272"/>
      <c r="D20" s="1273"/>
      <c r="E20" s="840">
        <f>SUM(E5:E19)</f>
        <v>0</v>
      </c>
      <c r="F20" s="841"/>
      <c r="G20" s="842"/>
    </row>
    <row r="21" spans="1:7">
      <c r="A21" s="843"/>
      <c r="B21" s="844"/>
      <c r="C21" s="845"/>
      <c r="D21" s="846"/>
      <c r="E21" s="847"/>
      <c r="F21" s="848"/>
      <c r="G21" s="849"/>
    </row>
    <row r="22" spans="1:7" ht="17.25">
      <c r="A22" s="850"/>
      <c r="B22" s="851"/>
      <c r="C22" s="852"/>
      <c r="D22" s="853"/>
      <c r="E22" s="852"/>
      <c r="F22" s="854"/>
      <c r="G22" s="855"/>
    </row>
  </sheetData>
  <mergeCells count="21">
    <mergeCell ref="A13:A19"/>
    <mergeCell ref="A20:D20"/>
    <mergeCell ref="A5:A12"/>
    <mergeCell ref="B5:B8"/>
    <mergeCell ref="C5:C16"/>
    <mergeCell ref="D5:D8"/>
    <mergeCell ref="E5:E8"/>
    <mergeCell ref="G5:G8"/>
    <mergeCell ref="B9:B12"/>
    <mergeCell ref="D9:D12"/>
    <mergeCell ref="E9:E12"/>
    <mergeCell ref="G9:G12"/>
    <mergeCell ref="A1:G1"/>
    <mergeCell ref="A2:G2"/>
    <mergeCell ref="A3:A4"/>
    <mergeCell ref="B3:B4"/>
    <mergeCell ref="C3:C4"/>
    <mergeCell ref="D3:D4"/>
    <mergeCell ref="E3:E4"/>
    <mergeCell ref="F3:F4"/>
    <mergeCell ref="G3:G4"/>
  </mergeCells>
  <phoneticPr fontId="5" type="noConversion"/>
  <dataValidations count="1">
    <dataValidation type="list" allowBlank="1" showInputMessage="1" showErrorMessage="1" sqref="D21 D5:D19">
      <formula1>"1"</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报价索引</vt:lpstr>
      <vt:lpstr>注册用户报价 </vt:lpstr>
      <vt:lpstr>并发报价 </vt:lpstr>
      <vt:lpstr>银行接口报价</vt:lpstr>
      <vt:lpstr>NCV6移动应用运营服务报价</vt:lpstr>
      <vt:lpstr>天创征腾影像管理系统</vt:lpstr>
      <vt:lpstr>简历解析并发报价</vt:lpstr>
      <vt:lpstr>简历解析注册用户报价 </vt:lpstr>
      <vt:lpstr>产品支持服务</vt:lpstr>
      <vt:lpstr>系统运维服务</vt:lpstr>
      <vt:lpstr> 实施报价</vt:lpstr>
      <vt:lpstr>客开报价</vt:lpstr>
      <vt:lpstr>oracle报价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29</dc:creator>
  <cp:lastModifiedBy>joker</cp:lastModifiedBy>
  <cp:lastPrinted>2015-10-08T06:44:09Z</cp:lastPrinted>
  <dcterms:created xsi:type="dcterms:W3CDTF">2015-07-22T07:05:37Z</dcterms:created>
  <dcterms:modified xsi:type="dcterms:W3CDTF">2016-12-29T14:38:53Z</dcterms:modified>
</cp:coreProperties>
</file>